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92" windowHeight="1116"/>
  </bookViews>
  <sheets>
    <sheet name="Смета для ТЕР ЧР" sheetId="5" r:id="rId1"/>
    <sheet name="Акт КС-2 для ТЕР ЧР" sheetId="6" r:id="rId2"/>
    <sheet name="Source" sheetId="1" r:id="rId3"/>
    <sheet name="SourceObSm" sheetId="2" r:id="rId4"/>
    <sheet name="SmtRes" sheetId="3" r:id="rId5"/>
    <sheet name="EtalonRes" sheetId="4" r:id="rId6"/>
  </sheets>
  <definedNames>
    <definedName name="_xlnm.Print_Titles" localSheetId="1">'Акт КС-2 для ТЕР ЧР'!$34:$34</definedName>
    <definedName name="_xlnm.Print_Titles" localSheetId="0">'Смета для ТЕР ЧР'!$29:$29</definedName>
    <definedName name="_xlnm.Print_Area" localSheetId="1">'Акт КС-2 для ТЕР ЧР'!$A$1:$M$718</definedName>
    <definedName name="_xlnm.Print_Area" localSheetId="0">'Смета для ТЕР ЧР'!$A$1:$L$698</definedName>
  </definedNames>
  <calcPr calcId="125725"/>
</workbook>
</file>

<file path=xl/calcChain.xml><?xml version="1.0" encoding="utf-8"?>
<calcChain xmlns="http://schemas.openxmlformats.org/spreadsheetml/2006/main">
  <c r="A151" i="5"/>
  <c r="I716" i="6"/>
  <c r="I712"/>
  <c r="D716"/>
  <c r="D712"/>
  <c r="D708"/>
  <c r="D707"/>
  <c r="D706"/>
  <c r="D705"/>
  <c r="D704"/>
  <c r="D703"/>
  <c r="D702"/>
  <c r="D701"/>
  <c r="D700"/>
  <c r="D695"/>
  <c r="D694"/>
  <c r="D693"/>
  <c r="D692"/>
  <c r="D691"/>
  <c r="D690"/>
  <c r="D689"/>
  <c r="D688"/>
  <c r="D687"/>
  <c r="D682"/>
  <c r="Z678"/>
  <c r="Y678"/>
  <c r="X678"/>
  <c r="H677"/>
  <c r="F677"/>
  <c r="K676"/>
  <c r="G676"/>
  <c r="F676"/>
  <c r="K675"/>
  <c r="G675"/>
  <c r="F675"/>
  <c r="K674"/>
  <c r="H674"/>
  <c r="G674"/>
  <c r="K673"/>
  <c r="H673"/>
  <c r="G673"/>
  <c r="K672"/>
  <c r="H672"/>
  <c r="G672"/>
  <c r="K671"/>
  <c r="H671"/>
  <c r="G671"/>
  <c r="G669"/>
  <c r="E669"/>
  <c r="J669"/>
  <c r="D669"/>
  <c r="C669"/>
  <c r="B669"/>
  <c r="Z668"/>
  <c r="Y668"/>
  <c r="X668"/>
  <c r="H667"/>
  <c r="F667"/>
  <c r="K666"/>
  <c r="G666"/>
  <c r="F666"/>
  <c r="K665"/>
  <c r="G665"/>
  <c r="F665"/>
  <c r="K664"/>
  <c r="H664"/>
  <c r="G664"/>
  <c r="K663"/>
  <c r="H663"/>
  <c r="G663"/>
  <c r="K662"/>
  <c r="H662"/>
  <c r="G662"/>
  <c r="K661"/>
  <c r="H661"/>
  <c r="G661"/>
  <c r="G659"/>
  <c r="E659"/>
  <c r="J659"/>
  <c r="D659"/>
  <c r="C659"/>
  <c r="B659"/>
  <c r="Z658"/>
  <c r="Y658"/>
  <c r="X658"/>
  <c r="H657"/>
  <c r="F657"/>
  <c r="K656"/>
  <c r="G656"/>
  <c r="F656"/>
  <c r="K655"/>
  <c r="G655"/>
  <c r="F655"/>
  <c r="K654"/>
  <c r="H654"/>
  <c r="G654"/>
  <c r="K653"/>
  <c r="H653"/>
  <c r="G653"/>
  <c r="K652"/>
  <c r="H652"/>
  <c r="G652"/>
  <c r="K651"/>
  <c r="H651"/>
  <c r="G651"/>
  <c r="G649"/>
  <c r="E649"/>
  <c r="J649"/>
  <c r="D649"/>
  <c r="C649"/>
  <c r="B649"/>
  <c r="Z648"/>
  <c r="Y648"/>
  <c r="X648"/>
  <c r="H647"/>
  <c r="F647"/>
  <c r="K646"/>
  <c r="G646"/>
  <c r="F646"/>
  <c r="K645"/>
  <c r="G645"/>
  <c r="F645"/>
  <c r="K644"/>
  <c r="H644"/>
  <c r="G644"/>
  <c r="K643"/>
  <c r="H643"/>
  <c r="G643"/>
  <c r="K642"/>
  <c r="H642"/>
  <c r="G642"/>
  <c r="G641"/>
  <c r="F641"/>
  <c r="E641"/>
  <c r="J641"/>
  <c r="D641"/>
  <c r="C641"/>
  <c r="B641"/>
  <c r="Z640"/>
  <c r="Y640"/>
  <c r="X640"/>
  <c r="H639"/>
  <c r="F639"/>
  <c r="K638"/>
  <c r="G638"/>
  <c r="F638"/>
  <c r="K637"/>
  <c r="G637"/>
  <c r="F637"/>
  <c r="K636"/>
  <c r="H636"/>
  <c r="G636"/>
  <c r="K635"/>
  <c r="H635"/>
  <c r="G635"/>
  <c r="K634"/>
  <c r="H634"/>
  <c r="G634"/>
  <c r="K633"/>
  <c r="H633"/>
  <c r="G633"/>
  <c r="G632"/>
  <c r="F632"/>
  <c r="E632"/>
  <c r="J632"/>
  <c r="D632"/>
  <c r="C632"/>
  <c r="B632"/>
  <c r="Z631"/>
  <c r="Y631"/>
  <c r="X631"/>
  <c r="K630"/>
  <c r="H630"/>
  <c r="G630"/>
  <c r="G629"/>
  <c r="F629"/>
  <c r="E629"/>
  <c r="J629"/>
  <c r="D629"/>
  <c r="C629"/>
  <c r="B629"/>
  <c r="Z628"/>
  <c r="Y628"/>
  <c r="X628"/>
  <c r="K627"/>
  <c r="Y627"/>
  <c r="G627"/>
  <c r="E627"/>
  <c r="D627"/>
  <c r="C627"/>
  <c r="B627"/>
  <c r="H626"/>
  <c r="F626"/>
  <c r="K625"/>
  <c r="G625"/>
  <c r="F625"/>
  <c r="K624"/>
  <c r="G624"/>
  <c r="F624"/>
  <c r="K623"/>
  <c r="H623"/>
  <c r="G623"/>
  <c r="K622"/>
  <c r="H622"/>
  <c r="G622"/>
  <c r="K621"/>
  <c r="H621"/>
  <c r="G621"/>
  <c r="K620"/>
  <c r="H620"/>
  <c r="G620"/>
  <c r="G618"/>
  <c r="E618"/>
  <c r="J618"/>
  <c r="D618"/>
  <c r="C618"/>
  <c r="B618"/>
  <c r="Z617"/>
  <c r="Y617"/>
  <c r="X617"/>
  <c r="K616"/>
  <c r="H616"/>
  <c r="G616"/>
  <c r="G615"/>
  <c r="F615"/>
  <c r="E615"/>
  <c r="J615"/>
  <c r="D615"/>
  <c r="C615"/>
  <c r="B615"/>
  <c r="Z614"/>
  <c r="Y614"/>
  <c r="X614"/>
  <c r="K613"/>
  <c r="Y613"/>
  <c r="G613"/>
  <c r="E613"/>
  <c r="D613"/>
  <c r="C613"/>
  <c r="B613"/>
  <c r="H612"/>
  <c r="F612"/>
  <c r="K611"/>
  <c r="G611"/>
  <c r="F611"/>
  <c r="K610"/>
  <c r="G610"/>
  <c r="F610"/>
  <c r="K609"/>
  <c r="H609"/>
  <c r="G609"/>
  <c r="K608"/>
  <c r="H608"/>
  <c r="G608"/>
  <c r="K607"/>
  <c r="H607"/>
  <c r="G607"/>
  <c r="G605"/>
  <c r="E605"/>
  <c r="J605"/>
  <c r="D605"/>
  <c r="C605"/>
  <c r="B605"/>
  <c r="Z604"/>
  <c r="Y604"/>
  <c r="X604"/>
  <c r="H603"/>
  <c r="F603"/>
  <c r="K602"/>
  <c r="G602"/>
  <c r="F602"/>
  <c r="K601"/>
  <c r="G601"/>
  <c r="F601"/>
  <c r="K600"/>
  <c r="H600"/>
  <c r="G600"/>
  <c r="K599"/>
  <c r="H599"/>
  <c r="G599"/>
  <c r="K598"/>
  <c r="H598"/>
  <c r="G598"/>
  <c r="G596"/>
  <c r="E596"/>
  <c r="J596"/>
  <c r="D596"/>
  <c r="C596"/>
  <c r="B596"/>
  <c r="Z595"/>
  <c r="Y595"/>
  <c r="X595"/>
  <c r="K594"/>
  <c r="H594"/>
  <c r="G594"/>
  <c r="G593"/>
  <c r="F593"/>
  <c r="E593"/>
  <c r="J593"/>
  <c r="D593"/>
  <c r="C593"/>
  <c r="B593"/>
  <c r="Z592"/>
  <c r="Y592"/>
  <c r="X592"/>
  <c r="K591"/>
  <c r="H591"/>
  <c r="G591"/>
  <c r="G590"/>
  <c r="F590"/>
  <c r="E590"/>
  <c r="J590"/>
  <c r="D590"/>
  <c r="C590"/>
  <c r="B590"/>
  <c r="Z589"/>
  <c r="Y589"/>
  <c r="X589"/>
  <c r="K588"/>
  <c r="Y588"/>
  <c r="G588"/>
  <c r="E588"/>
  <c r="D588"/>
  <c r="C588"/>
  <c r="B588"/>
  <c r="H587"/>
  <c r="F587"/>
  <c r="K586"/>
  <c r="G586"/>
  <c r="F586"/>
  <c r="K585"/>
  <c r="G585"/>
  <c r="F585"/>
  <c r="K584"/>
  <c r="H584"/>
  <c r="G584"/>
  <c r="K583"/>
  <c r="H583"/>
  <c r="G583"/>
  <c r="K582"/>
  <c r="H582"/>
  <c r="G582"/>
  <c r="K581"/>
  <c r="H581"/>
  <c r="G581"/>
  <c r="G579"/>
  <c r="E579"/>
  <c r="J579"/>
  <c r="D579"/>
  <c r="C579"/>
  <c r="B579"/>
  <c r="Z578"/>
  <c r="Y578"/>
  <c r="X578"/>
  <c r="H577"/>
  <c r="F577"/>
  <c r="K576"/>
  <c r="G576"/>
  <c r="F576"/>
  <c r="K575"/>
  <c r="G575"/>
  <c r="F575"/>
  <c r="K574"/>
  <c r="H574"/>
  <c r="G574"/>
  <c r="K573"/>
  <c r="H573"/>
  <c r="G573"/>
  <c r="K572"/>
  <c r="H572"/>
  <c r="G572"/>
  <c r="G570"/>
  <c r="E570"/>
  <c r="J570"/>
  <c r="D570"/>
  <c r="C570"/>
  <c r="B570"/>
  <c r="AF569"/>
  <c r="D569"/>
  <c r="Z568"/>
  <c r="Y568"/>
  <c r="X568"/>
  <c r="K567"/>
  <c r="H567"/>
  <c r="G567"/>
  <c r="G566"/>
  <c r="F566"/>
  <c r="E566"/>
  <c r="J566"/>
  <c r="D566"/>
  <c r="C566"/>
  <c r="B566"/>
  <c r="Z565"/>
  <c r="Y565"/>
  <c r="X565"/>
  <c r="H564"/>
  <c r="F564"/>
  <c r="K563"/>
  <c r="G563"/>
  <c r="F563"/>
  <c r="K562"/>
  <c r="G562"/>
  <c r="F562"/>
  <c r="K561"/>
  <c r="H561"/>
  <c r="G561"/>
  <c r="K560"/>
  <c r="H560"/>
  <c r="G560"/>
  <c r="K559"/>
  <c r="H559"/>
  <c r="G559"/>
  <c r="G558"/>
  <c r="F558"/>
  <c r="E558"/>
  <c r="J558"/>
  <c r="D558"/>
  <c r="C558"/>
  <c r="B558"/>
  <c r="Z557"/>
  <c r="Y557"/>
  <c r="X557"/>
  <c r="H556"/>
  <c r="F556"/>
  <c r="K555"/>
  <c r="G555"/>
  <c r="F555"/>
  <c r="K554"/>
  <c r="G554"/>
  <c r="F554"/>
  <c r="K553"/>
  <c r="H553"/>
  <c r="G553"/>
  <c r="K552"/>
  <c r="H552"/>
  <c r="G552"/>
  <c r="K551"/>
  <c r="H551"/>
  <c r="G551"/>
  <c r="G549"/>
  <c r="E549"/>
  <c r="J549"/>
  <c r="D549"/>
  <c r="C549"/>
  <c r="B549"/>
  <c r="Z548"/>
  <c r="Y548"/>
  <c r="X548"/>
  <c r="H547"/>
  <c r="F547"/>
  <c r="K546"/>
  <c r="G546"/>
  <c r="F546"/>
  <c r="K545"/>
  <c r="G545"/>
  <c r="F545"/>
  <c r="K544"/>
  <c r="H544"/>
  <c r="G544"/>
  <c r="K543"/>
  <c r="H543"/>
  <c r="G543"/>
  <c r="K542"/>
  <c r="H542"/>
  <c r="G542"/>
  <c r="G540"/>
  <c r="E540"/>
  <c r="J540"/>
  <c r="D540"/>
  <c r="C540"/>
  <c r="B540"/>
  <c r="Z539"/>
  <c r="Y539"/>
  <c r="X539"/>
  <c r="H538"/>
  <c r="F538"/>
  <c r="K537"/>
  <c r="G537"/>
  <c r="F537"/>
  <c r="K536"/>
  <c r="G536"/>
  <c r="F536"/>
  <c r="K535"/>
  <c r="H535"/>
  <c r="G535"/>
  <c r="K534"/>
  <c r="H534"/>
  <c r="G534"/>
  <c r="K533"/>
  <c r="H533"/>
  <c r="G533"/>
  <c r="G531"/>
  <c r="E531"/>
  <c r="J531"/>
  <c r="D531"/>
  <c r="C531"/>
  <c r="B531"/>
  <c r="Z530"/>
  <c r="Y530"/>
  <c r="X530"/>
  <c r="H529"/>
  <c r="F529"/>
  <c r="K528"/>
  <c r="G528"/>
  <c r="F528"/>
  <c r="K527"/>
  <c r="G527"/>
  <c r="F527"/>
  <c r="K526"/>
  <c r="H526"/>
  <c r="G526"/>
  <c r="K525"/>
  <c r="H525"/>
  <c r="G525"/>
  <c r="G523"/>
  <c r="E523"/>
  <c r="J523"/>
  <c r="D523"/>
  <c r="C523"/>
  <c r="B523"/>
  <c r="Z522"/>
  <c r="Y522"/>
  <c r="X522"/>
  <c r="K521"/>
  <c r="H521"/>
  <c r="G521"/>
  <c r="G520"/>
  <c r="F520"/>
  <c r="E520"/>
  <c r="J520"/>
  <c r="D520"/>
  <c r="C520"/>
  <c r="B520"/>
  <c r="Z519"/>
  <c r="Y519"/>
  <c r="X519"/>
  <c r="K518"/>
  <c r="Y518"/>
  <c r="G518"/>
  <c r="E518"/>
  <c r="D518"/>
  <c r="C518"/>
  <c r="B518"/>
  <c r="H517"/>
  <c r="F517"/>
  <c r="K516"/>
  <c r="G516"/>
  <c r="F516"/>
  <c r="K515"/>
  <c r="G515"/>
  <c r="F515"/>
  <c r="K514"/>
  <c r="H514"/>
  <c r="G514"/>
  <c r="K513"/>
  <c r="H513"/>
  <c r="G513"/>
  <c r="K512"/>
  <c r="H512"/>
  <c r="G512"/>
  <c r="K511"/>
  <c r="H511"/>
  <c r="G511"/>
  <c r="G509"/>
  <c r="E509"/>
  <c r="J509"/>
  <c r="D509"/>
  <c r="C509"/>
  <c r="B509"/>
  <c r="Z508"/>
  <c r="Y508"/>
  <c r="X508"/>
  <c r="H507"/>
  <c r="F507"/>
  <c r="K506"/>
  <c r="G506"/>
  <c r="F506"/>
  <c r="K505"/>
  <c r="G505"/>
  <c r="F505"/>
  <c r="K504"/>
  <c r="H504"/>
  <c r="G504"/>
  <c r="K503"/>
  <c r="H503"/>
  <c r="G503"/>
  <c r="K502"/>
  <c r="H502"/>
  <c r="G502"/>
  <c r="G500"/>
  <c r="E500"/>
  <c r="J500"/>
  <c r="D500"/>
  <c r="C500"/>
  <c r="B500"/>
  <c r="Z499"/>
  <c r="Y499"/>
  <c r="X499"/>
  <c r="H498"/>
  <c r="F498"/>
  <c r="K497"/>
  <c r="G497"/>
  <c r="F497"/>
  <c r="K496"/>
  <c r="G496"/>
  <c r="F496"/>
  <c r="K495"/>
  <c r="H495"/>
  <c r="G495"/>
  <c r="K494"/>
  <c r="H494"/>
  <c r="G494"/>
  <c r="K493"/>
  <c r="H493"/>
  <c r="G493"/>
  <c r="K492"/>
  <c r="H492"/>
  <c r="G492"/>
  <c r="G490"/>
  <c r="E490"/>
  <c r="J490"/>
  <c r="D490"/>
  <c r="C490"/>
  <c r="B490"/>
  <c r="Z489"/>
  <c r="Y489"/>
  <c r="X489"/>
  <c r="K488"/>
  <c r="H488"/>
  <c r="G488"/>
  <c r="G487"/>
  <c r="F487"/>
  <c r="E487"/>
  <c r="J487"/>
  <c r="D487"/>
  <c r="C487"/>
  <c r="B487"/>
  <c r="Z486"/>
  <c r="Y486"/>
  <c r="X486"/>
  <c r="K485"/>
  <c r="Y485"/>
  <c r="G485"/>
  <c r="E485"/>
  <c r="D485"/>
  <c r="C485"/>
  <c r="B485"/>
  <c r="H484"/>
  <c r="F484"/>
  <c r="K483"/>
  <c r="G483"/>
  <c r="F483"/>
  <c r="K482"/>
  <c r="G482"/>
  <c r="F482"/>
  <c r="K481"/>
  <c r="H481"/>
  <c r="G481"/>
  <c r="K480"/>
  <c r="H480"/>
  <c r="G480"/>
  <c r="K479"/>
  <c r="H479"/>
  <c r="G479"/>
  <c r="K478"/>
  <c r="H478"/>
  <c r="G478"/>
  <c r="G476"/>
  <c r="E476"/>
  <c r="J476"/>
  <c r="D476"/>
  <c r="C476"/>
  <c r="B476"/>
  <c r="Z475"/>
  <c r="Y475"/>
  <c r="X475"/>
  <c r="K474"/>
  <c r="H474"/>
  <c r="G474"/>
  <c r="G473"/>
  <c r="F473"/>
  <c r="E473"/>
  <c r="J473"/>
  <c r="D473"/>
  <c r="C473"/>
  <c r="B473"/>
  <c r="Z472"/>
  <c r="Y472"/>
  <c r="X472"/>
  <c r="H471"/>
  <c r="F471"/>
  <c r="K470"/>
  <c r="G470"/>
  <c r="F470"/>
  <c r="K469"/>
  <c r="G469"/>
  <c r="F469"/>
  <c r="K468"/>
  <c r="H468"/>
  <c r="G468"/>
  <c r="K467"/>
  <c r="H467"/>
  <c r="G467"/>
  <c r="K466"/>
  <c r="H466"/>
  <c r="G466"/>
  <c r="K465"/>
  <c r="H465"/>
  <c r="G465"/>
  <c r="G463"/>
  <c r="E463"/>
  <c r="J463"/>
  <c r="D463"/>
  <c r="C463"/>
  <c r="B463"/>
  <c r="Z462"/>
  <c r="Y462"/>
  <c r="X462"/>
  <c r="H461"/>
  <c r="F461"/>
  <c r="K460"/>
  <c r="G460"/>
  <c r="F460"/>
  <c r="K459"/>
  <c r="G459"/>
  <c r="F459"/>
  <c r="K458"/>
  <c r="H458"/>
  <c r="G458"/>
  <c r="K457"/>
  <c r="H457"/>
  <c r="G457"/>
  <c r="K456"/>
  <c r="H456"/>
  <c r="G456"/>
  <c r="K455"/>
  <c r="H455"/>
  <c r="G455"/>
  <c r="G453"/>
  <c r="E453"/>
  <c r="J453"/>
  <c r="D453"/>
  <c r="C453"/>
  <c r="B453"/>
  <c r="Z452"/>
  <c r="Y452"/>
  <c r="X452"/>
  <c r="H451"/>
  <c r="F451"/>
  <c r="K450"/>
  <c r="G450"/>
  <c r="F450"/>
  <c r="K449"/>
  <c r="G449"/>
  <c r="F449"/>
  <c r="K448"/>
  <c r="H448"/>
  <c r="G448"/>
  <c r="K447"/>
  <c r="H447"/>
  <c r="G447"/>
  <c r="K446"/>
  <c r="H446"/>
  <c r="G446"/>
  <c r="K445"/>
  <c r="H445"/>
  <c r="G445"/>
  <c r="G443"/>
  <c r="E443"/>
  <c r="J443"/>
  <c r="D443"/>
  <c r="C443"/>
  <c r="B443"/>
  <c r="Z442"/>
  <c r="Y442"/>
  <c r="X442"/>
  <c r="H441"/>
  <c r="F441"/>
  <c r="K440"/>
  <c r="G440"/>
  <c r="F440"/>
  <c r="K439"/>
  <c r="G439"/>
  <c r="F439"/>
  <c r="K438"/>
  <c r="H438"/>
  <c r="G438"/>
  <c r="K437"/>
  <c r="H437"/>
  <c r="G437"/>
  <c r="K436"/>
  <c r="H436"/>
  <c r="G436"/>
  <c r="K435"/>
  <c r="H435"/>
  <c r="G435"/>
  <c r="G433"/>
  <c r="E433"/>
  <c r="J433"/>
  <c r="D433"/>
  <c r="C433"/>
  <c r="B433"/>
  <c r="Z432"/>
  <c r="Y432"/>
  <c r="X432"/>
  <c r="H431"/>
  <c r="F431"/>
  <c r="K430"/>
  <c r="G430"/>
  <c r="F430"/>
  <c r="K429"/>
  <c r="G429"/>
  <c r="F429"/>
  <c r="K428"/>
  <c r="H428"/>
  <c r="G428"/>
  <c r="K427"/>
  <c r="H427"/>
  <c r="G427"/>
  <c r="K426"/>
  <c r="H426"/>
  <c r="G426"/>
  <c r="K425"/>
  <c r="H425"/>
  <c r="G425"/>
  <c r="G423"/>
  <c r="E423"/>
  <c r="J423"/>
  <c r="D423"/>
  <c r="C423"/>
  <c r="B423"/>
  <c r="Z422"/>
  <c r="Y422"/>
  <c r="X422"/>
  <c r="H421"/>
  <c r="F421"/>
  <c r="K420"/>
  <c r="G420"/>
  <c r="F420"/>
  <c r="K419"/>
  <c r="G419"/>
  <c r="F419"/>
  <c r="K418"/>
  <c r="H418"/>
  <c r="G418"/>
  <c r="K417"/>
  <c r="H417"/>
  <c r="G417"/>
  <c r="K416"/>
  <c r="H416"/>
  <c r="G416"/>
  <c r="K415"/>
  <c r="H415"/>
  <c r="G415"/>
  <c r="G413"/>
  <c r="E413"/>
  <c r="J413"/>
  <c r="D413"/>
  <c r="C413"/>
  <c r="B413"/>
  <c r="Z412"/>
  <c r="Y412"/>
  <c r="X412"/>
  <c r="H411"/>
  <c r="F411"/>
  <c r="K410"/>
  <c r="G410"/>
  <c r="F410"/>
  <c r="K409"/>
  <c r="G409"/>
  <c r="F409"/>
  <c r="K408"/>
  <c r="H408"/>
  <c r="G408"/>
  <c r="K407"/>
  <c r="H407"/>
  <c r="G407"/>
  <c r="K406"/>
  <c r="H406"/>
  <c r="G406"/>
  <c r="K405"/>
  <c r="H405"/>
  <c r="G405"/>
  <c r="G403"/>
  <c r="E403"/>
  <c r="J403"/>
  <c r="D403"/>
  <c r="C403"/>
  <c r="B403"/>
  <c r="AF402"/>
  <c r="D402"/>
  <c r="Z401"/>
  <c r="Y401"/>
  <c r="X401"/>
  <c r="H400"/>
  <c r="F400"/>
  <c r="K399"/>
  <c r="G399"/>
  <c r="F399"/>
  <c r="K398"/>
  <c r="G398"/>
  <c r="F398"/>
  <c r="K397"/>
  <c r="H397"/>
  <c r="G397"/>
  <c r="K396"/>
  <c r="H396"/>
  <c r="G396"/>
  <c r="K395"/>
  <c r="H395"/>
  <c r="G395"/>
  <c r="G393"/>
  <c r="E393"/>
  <c r="J393"/>
  <c r="D393"/>
  <c r="C393"/>
  <c r="B393"/>
  <c r="Z392"/>
  <c r="Y392"/>
  <c r="X392"/>
  <c r="H391"/>
  <c r="F391"/>
  <c r="K390"/>
  <c r="G390"/>
  <c r="F390"/>
  <c r="K389"/>
  <c r="G389"/>
  <c r="F389"/>
  <c r="K388"/>
  <c r="H388"/>
  <c r="G388"/>
  <c r="G386"/>
  <c r="E386"/>
  <c r="J386"/>
  <c r="D386"/>
  <c r="C386"/>
  <c r="B386"/>
  <c r="Z385"/>
  <c r="Y385"/>
  <c r="X385"/>
  <c r="H384"/>
  <c r="F384"/>
  <c r="K383"/>
  <c r="G383"/>
  <c r="F383"/>
  <c r="K382"/>
  <c r="G382"/>
  <c r="F382"/>
  <c r="K381"/>
  <c r="H381"/>
  <c r="G381"/>
  <c r="G379"/>
  <c r="E379"/>
  <c r="J379"/>
  <c r="D379"/>
  <c r="C379"/>
  <c r="B379"/>
  <c r="Z378"/>
  <c r="Y378"/>
  <c r="X378"/>
  <c r="H377"/>
  <c r="F377"/>
  <c r="K376"/>
  <c r="G376"/>
  <c r="F376"/>
  <c r="K375"/>
  <c r="G375"/>
  <c r="F375"/>
  <c r="K374"/>
  <c r="H374"/>
  <c r="G374"/>
  <c r="K373"/>
  <c r="H373"/>
  <c r="G373"/>
  <c r="K372"/>
  <c r="H372"/>
  <c r="G372"/>
  <c r="G370"/>
  <c r="E370"/>
  <c r="J370"/>
  <c r="D370"/>
  <c r="C370"/>
  <c r="B370"/>
  <c r="Z369"/>
  <c r="Y369"/>
  <c r="X369"/>
  <c r="H368"/>
  <c r="F368"/>
  <c r="K367"/>
  <c r="G367"/>
  <c r="F367"/>
  <c r="K366"/>
  <c r="G366"/>
  <c r="F366"/>
  <c r="K365"/>
  <c r="H365"/>
  <c r="G365"/>
  <c r="K364"/>
  <c r="H364"/>
  <c r="G364"/>
  <c r="K363"/>
  <c r="H363"/>
  <c r="G363"/>
  <c r="G361"/>
  <c r="E361"/>
  <c r="J361"/>
  <c r="D361"/>
  <c r="C361"/>
  <c r="B361"/>
  <c r="Z360"/>
  <c r="Y360"/>
  <c r="X360"/>
  <c r="H359"/>
  <c r="F359"/>
  <c r="K358"/>
  <c r="G358"/>
  <c r="F358"/>
  <c r="K357"/>
  <c r="G357"/>
  <c r="F357"/>
  <c r="K356"/>
  <c r="H356"/>
  <c r="G356"/>
  <c r="G354"/>
  <c r="E354"/>
  <c r="J354"/>
  <c r="D354"/>
  <c r="C354"/>
  <c r="B354"/>
  <c r="Z353"/>
  <c r="Y353"/>
  <c r="X353"/>
  <c r="H352"/>
  <c r="F352"/>
  <c r="K351"/>
  <c r="G351"/>
  <c r="F351"/>
  <c r="K350"/>
  <c r="G350"/>
  <c r="F350"/>
  <c r="K349"/>
  <c r="H349"/>
  <c r="G349"/>
  <c r="K348"/>
  <c r="H348"/>
  <c r="G348"/>
  <c r="K347"/>
  <c r="H347"/>
  <c r="G347"/>
  <c r="G345"/>
  <c r="E345"/>
  <c r="J345"/>
  <c r="D345"/>
  <c r="C345"/>
  <c r="B345"/>
  <c r="AF344"/>
  <c r="D344"/>
  <c r="AE343"/>
  <c r="A343"/>
  <c r="D340"/>
  <c r="Z336"/>
  <c r="Y336"/>
  <c r="X336"/>
  <c r="H335"/>
  <c r="F335"/>
  <c r="K334"/>
  <c r="G334"/>
  <c r="F334"/>
  <c r="K333"/>
  <c r="G333"/>
  <c r="F333"/>
  <c r="K332"/>
  <c r="H332"/>
  <c r="G332"/>
  <c r="K331"/>
  <c r="H331"/>
  <c r="G331"/>
  <c r="K330"/>
  <c r="H330"/>
  <c r="G330"/>
  <c r="G328"/>
  <c r="E328"/>
  <c r="J328"/>
  <c r="D328"/>
  <c r="C328"/>
  <c r="B328"/>
  <c r="Z327"/>
  <c r="Y327"/>
  <c r="X327"/>
  <c r="K326"/>
  <c r="H326"/>
  <c r="G326"/>
  <c r="G325"/>
  <c r="F325"/>
  <c r="E325"/>
  <c r="J325"/>
  <c r="D325"/>
  <c r="C325"/>
  <c r="B325"/>
  <c r="Z324"/>
  <c r="Y324"/>
  <c r="X324"/>
  <c r="K323"/>
  <c r="H323"/>
  <c r="G323"/>
  <c r="G322"/>
  <c r="F322"/>
  <c r="E322"/>
  <c r="J322"/>
  <c r="D322"/>
  <c r="C322"/>
  <c r="B322"/>
  <c r="Z321"/>
  <c r="Y321"/>
  <c r="X321"/>
  <c r="K320"/>
  <c r="H320"/>
  <c r="G320"/>
  <c r="G319"/>
  <c r="F319"/>
  <c r="E319"/>
  <c r="J319"/>
  <c r="D319"/>
  <c r="C319"/>
  <c r="B319"/>
  <c r="Z318"/>
  <c r="Y318"/>
  <c r="X318"/>
  <c r="K317"/>
  <c r="H317"/>
  <c r="G317"/>
  <c r="G316"/>
  <c r="F316"/>
  <c r="E316"/>
  <c r="J316"/>
  <c r="D316"/>
  <c r="C316"/>
  <c r="B316"/>
  <c r="Z315"/>
  <c r="Y315"/>
  <c r="X315"/>
  <c r="H314"/>
  <c r="F314"/>
  <c r="K313"/>
  <c r="G313"/>
  <c r="F313"/>
  <c r="K312"/>
  <c r="G312"/>
  <c r="F312"/>
  <c r="K311"/>
  <c r="H311"/>
  <c r="G311"/>
  <c r="K310"/>
  <c r="H310"/>
  <c r="G310"/>
  <c r="G308"/>
  <c r="E308"/>
  <c r="J308"/>
  <c r="D308"/>
  <c r="C308"/>
  <c r="B308"/>
  <c r="Z307"/>
  <c r="Y307"/>
  <c r="X307"/>
  <c r="K306"/>
  <c r="H306"/>
  <c r="G306"/>
  <c r="G305"/>
  <c r="F305"/>
  <c r="E305"/>
  <c r="J305"/>
  <c r="D305"/>
  <c r="C305"/>
  <c r="B305"/>
  <c r="Z304"/>
  <c r="Y304"/>
  <c r="X304"/>
  <c r="H303"/>
  <c r="F303"/>
  <c r="K302"/>
  <c r="G302"/>
  <c r="F302"/>
  <c r="K301"/>
  <c r="G301"/>
  <c r="F301"/>
  <c r="K300"/>
  <c r="H300"/>
  <c r="G300"/>
  <c r="K299"/>
  <c r="H299"/>
  <c r="G299"/>
  <c r="K298"/>
  <c r="H298"/>
  <c r="G298"/>
  <c r="G297"/>
  <c r="F297"/>
  <c r="E297"/>
  <c r="J297"/>
  <c r="D297"/>
  <c r="C297"/>
  <c r="B297"/>
  <c r="Z296"/>
  <c r="Y296"/>
  <c r="X296"/>
  <c r="H295"/>
  <c r="F295"/>
  <c r="K294"/>
  <c r="G294"/>
  <c r="F294"/>
  <c r="K293"/>
  <c r="G293"/>
  <c r="F293"/>
  <c r="K292"/>
  <c r="H292"/>
  <c r="G292"/>
  <c r="K291"/>
  <c r="H291"/>
  <c r="G291"/>
  <c r="K290"/>
  <c r="H290"/>
  <c r="G290"/>
  <c r="G288"/>
  <c r="E288"/>
  <c r="J288"/>
  <c r="D288"/>
  <c r="C288"/>
  <c r="B288"/>
  <c r="Z287"/>
  <c r="Y287"/>
  <c r="X287"/>
  <c r="K286"/>
  <c r="H286"/>
  <c r="G286"/>
  <c r="G285"/>
  <c r="F285"/>
  <c r="E285"/>
  <c r="J285"/>
  <c r="D285"/>
  <c r="C285"/>
  <c r="B285"/>
  <c r="Z284"/>
  <c r="Y284"/>
  <c r="X284"/>
  <c r="K283"/>
  <c r="H283"/>
  <c r="G283"/>
  <c r="G282"/>
  <c r="F282"/>
  <c r="E282"/>
  <c r="J282"/>
  <c r="D282"/>
  <c r="C282"/>
  <c r="B282"/>
  <c r="Z281"/>
  <c r="Y281"/>
  <c r="X281"/>
  <c r="K280"/>
  <c r="Y280"/>
  <c r="G280"/>
  <c r="E280"/>
  <c r="D280"/>
  <c r="C280"/>
  <c r="B280"/>
  <c r="H279"/>
  <c r="F279"/>
  <c r="K278"/>
  <c r="G278"/>
  <c r="F278"/>
  <c r="K277"/>
  <c r="G277"/>
  <c r="F277"/>
  <c r="K276"/>
  <c r="H276"/>
  <c r="G276"/>
  <c r="K275"/>
  <c r="H275"/>
  <c r="G275"/>
  <c r="K274"/>
  <c r="H274"/>
  <c r="G274"/>
  <c r="K273"/>
  <c r="H273"/>
  <c r="G273"/>
  <c r="G271"/>
  <c r="E271"/>
  <c r="J271"/>
  <c r="D271"/>
  <c r="C271"/>
  <c r="B271"/>
  <c r="Z270"/>
  <c r="Y270"/>
  <c r="X270"/>
  <c r="H269"/>
  <c r="F269"/>
  <c r="K268"/>
  <c r="G268"/>
  <c r="F268"/>
  <c r="K267"/>
  <c r="G267"/>
  <c r="F267"/>
  <c r="K266"/>
  <c r="H266"/>
  <c r="G266"/>
  <c r="K265"/>
  <c r="H265"/>
  <c r="G265"/>
  <c r="K264"/>
  <c r="H264"/>
  <c r="G264"/>
  <c r="G262"/>
  <c r="E262"/>
  <c r="J262"/>
  <c r="D262"/>
  <c r="C262"/>
  <c r="B262"/>
  <c r="Z261"/>
  <c r="Y261"/>
  <c r="X261"/>
  <c r="H260"/>
  <c r="F260"/>
  <c r="K259"/>
  <c r="G259"/>
  <c r="F259"/>
  <c r="K258"/>
  <c r="G258"/>
  <c r="F258"/>
  <c r="K257"/>
  <c r="H257"/>
  <c r="G257"/>
  <c r="K256"/>
  <c r="H256"/>
  <c r="G256"/>
  <c r="K255"/>
  <c r="H255"/>
  <c r="G255"/>
  <c r="G253"/>
  <c r="E253"/>
  <c r="J253"/>
  <c r="D253"/>
  <c r="C253"/>
  <c r="B253"/>
  <c r="Z252"/>
  <c r="Y252"/>
  <c r="W252"/>
  <c r="K251"/>
  <c r="H251"/>
  <c r="G251"/>
  <c r="G250"/>
  <c r="F250"/>
  <c r="E250"/>
  <c r="J250"/>
  <c r="D250"/>
  <c r="C250"/>
  <c r="B250"/>
  <c r="Z249"/>
  <c r="Y249"/>
  <c r="W249"/>
  <c r="H248"/>
  <c r="F248"/>
  <c r="K247"/>
  <c r="G247"/>
  <c r="F247"/>
  <c r="K246"/>
  <c r="G246"/>
  <c r="F246"/>
  <c r="K245"/>
  <c r="H245"/>
  <c r="G245"/>
  <c r="K244"/>
  <c r="H244"/>
  <c r="G244"/>
  <c r="K243"/>
  <c r="H243"/>
  <c r="G243"/>
  <c r="K242"/>
  <c r="H242"/>
  <c r="G242"/>
  <c r="G240"/>
  <c r="E240"/>
  <c r="J240"/>
  <c r="D240"/>
  <c r="C240"/>
  <c r="B240"/>
  <c r="Z239"/>
  <c r="Y239"/>
  <c r="X239"/>
  <c r="K238"/>
  <c r="H238"/>
  <c r="G238"/>
  <c r="G237"/>
  <c r="F237"/>
  <c r="E237"/>
  <c r="J237"/>
  <c r="D237"/>
  <c r="C237"/>
  <c r="B237"/>
  <c r="Z236"/>
  <c r="Y236"/>
  <c r="X236"/>
  <c r="H235"/>
  <c r="F235"/>
  <c r="K234"/>
  <c r="G234"/>
  <c r="F234"/>
  <c r="K233"/>
  <c r="G233"/>
  <c r="F233"/>
  <c r="K232"/>
  <c r="H232"/>
  <c r="G232"/>
  <c r="K231"/>
  <c r="H231"/>
  <c r="G231"/>
  <c r="K230"/>
  <c r="H230"/>
  <c r="G230"/>
  <c r="K229"/>
  <c r="H229"/>
  <c r="G229"/>
  <c r="G227"/>
  <c r="E227"/>
  <c r="J227"/>
  <c r="D227"/>
  <c r="C227"/>
  <c r="B227"/>
  <c r="Z226"/>
  <c r="Y226"/>
  <c r="X226"/>
  <c r="K225"/>
  <c r="H225"/>
  <c r="G225"/>
  <c r="G224"/>
  <c r="F224"/>
  <c r="E224"/>
  <c r="J224"/>
  <c r="D224"/>
  <c r="C224"/>
  <c r="B224"/>
  <c r="Z223"/>
  <c r="Y223"/>
  <c r="X223"/>
  <c r="H222"/>
  <c r="F222"/>
  <c r="K221"/>
  <c r="G221"/>
  <c r="F221"/>
  <c r="K220"/>
  <c r="G220"/>
  <c r="F220"/>
  <c r="K219"/>
  <c r="H219"/>
  <c r="G219"/>
  <c r="K218"/>
  <c r="H218"/>
  <c r="G218"/>
  <c r="K217"/>
  <c r="H217"/>
  <c r="G217"/>
  <c r="K216"/>
  <c r="H216"/>
  <c r="G216"/>
  <c r="G214"/>
  <c r="E214"/>
  <c r="J214"/>
  <c r="D214"/>
  <c r="C214"/>
  <c r="B214"/>
  <c r="Z213"/>
  <c r="Y213"/>
  <c r="X213"/>
  <c r="K212"/>
  <c r="H212"/>
  <c r="G212"/>
  <c r="G211"/>
  <c r="F211"/>
  <c r="E211"/>
  <c r="J211"/>
  <c r="D211"/>
  <c r="C211"/>
  <c r="B211"/>
  <c r="Z210"/>
  <c r="Y210"/>
  <c r="X210"/>
  <c r="K209"/>
  <c r="Y209"/>
  <c r="G209"/>
  <c r="E209"/>
  <c r="D209"/>
  <c r="C209"/>
  <c r="B209"/>
  <c r="H208"/>
  <c r="F208"/>
  <c r="K207"/>
  <c r="G207"/>
  <c r="F207"/>
  <c r="K206"/>
  <c r="G206"/>
  <c r="F206"/>
  <c r="K205"/>
  <c r="H205"/>
  <c r="G205"/>
  <c r="K204"/>
  <c r="H204"/>
  <c r="G204"/>
  <c r="K203"/>
  <c r="H203"/>
  <c r="G203"/>
  <c r="K202"/>
  <c r="H202"/>
  <c r="G202"/>
  <c r="G200"/>
  <c r="E200"/>
  <c r="J200"/>
  <c r="D200"/>
  <c r="C200"/>
  <c r="B200"/>
  <c r="Z199"/>
  <c r="Y199"/>
  <c r="X199"/>
  <c r="H198"/>
  <c r="F198"/>
  <c r="K197"/>
  <c r="G197"/>
  <c r="F197"/>
  <c r="K196"/>
  <c r="G196"/>
  <c r="F196"/>
  <c r="K195"/>
  <c r="H195"/>
  <c r="G195"/>
  <c r="K194"/>
  <c r="H194"/>
  <c r="G194"/>
  <c r="K193"/>
  <c r="H193"/>
  <c r="G193"/>
  <c r="K192"/>
  <c r="H192"/>
  <c r="G192"/>
  <c r="G190"/>
  <c r="E190"/>
  <c r="J190"/>
  <c r="D190"/>
  <c r="C190"/>
  <c r="B190"/>
  <c r="Z189"/>
  <c r="Y189"/>
  <c r="X189"/>
  <c r="K188"/>
  <c r="H188"/>
  <c r="G188"/>
  <c r="G187"/>
  <c r="F187"/>
  <c r="E187"/>
  <c r="J187"/>
  <c r="D187"/>
  <c r="C187"/>
  <c r="B187"/>
  <c r="Z186"/>
  <c r="Y186"/>
  <c r="X186"/>
  <c r="H185"/>
  <c r="F185"/>
  <c r="K184"/>
  <c r="G184"/>
  <c r="F184"/>
  <c r="K183"/>
  <c r="G183"/>
  <c r="F183"/>
  <c r="K182"/>
  <c r="H182"/>
  <c r="G182"/>
  <c r="K181"/>
  <c r="H181"/>
  <c r="G181"/>
  <c r="K180"/>
  <c r="H180"/>
  <c r="G180"/>
  <c r="K179"/>
  <c r="H179"/>
  <c r="G179"/>
  <c r="G177"/>
  <c r="E177"/>
  <c r="J177"/>
  <c r="D177"/>
  <c r="C177"/>
  <c r="B177"/>
  <c r="Z176"/>
  <c r="Y176"/>
  <c r="X176"/>
  <c r="H175"/>
  <c r="F175"/>
  <c r="K174"/>
  <c r="G174"/>
  <c r="F174"/>
  <c r="K173"/>
  <c r="G173"/>
  <c r="F173"/>
  <c r="K172"/>
  <c r="H172"/>
  <c r="G172"/>
  <c r="K171"/>
  <c r="H171"/>
  <c r="G171"/>
  <c r="K170"/>
  <c r="H170"/>
  <c r="G170"/>
  <c r="K169"/>
  <c r="H169"/>
  <c r="G169"/>
  <c r="G167"/>
  <c r="E167"/>
  <c r="J167"/>
  <c r="D167"/>
  <c r="C167"/>
  <c r="B167"/>
  <c r="Z166"/>
  <c r="Y166"/>
  <c r="X166"/>
  <c r="H165"/>
  <c r="F165"/>
  <c r="K164"/>
  <c r="G164"/>
  <c r="F164"/>
  <c r="K163"/>
  <c r="G163"/>
  <c r="F163"/>
  <c r="K162"/>
  <c r="H162"/>
  <c r="G162"/>
  <c r="K161"/>
  <c r="H161"/>
  <c r="G161"/>
  <c r="K160"/>
  <c r="H160"/>
  <c r="G160"/>
  <c r="K159"/>
  <c r="H159"/>
  <c r="G159"/>
  <c r="G157"/>
  <c r="E157"/>
  <c r="J157"/>
  <c r="D157"/>
  <c r="C157"/>
  <c r="B157"/>
  <c r="AE156"/>
  <c r="A156"/>
  <c r="D153"/>
  <c r="Z149"/>
  <c r="Y149"/>
  <c r="X149"/>
  <c r="H148"/>
  <c r="F148"/>
  <c r="K147"/>
  <c r="G147"/>
  <c r="F147"/>
  <c r="K146"/>
  <c r="G146"/>
  <c r="F146"/>
  <c r="K145"/>
  <c r="H145"/>
  <c r="G145"/>
  <c r="K144"/>
  <c r="H144"/>
  <c r="G144"/>
  <c r="K143"/>
  <c r="H143"/>
  <c r="G143"/>
  <c r="G141"/>
  <c r="E141"/>
  <c r="J141"/>
  <c r="D141"/>
  <c r="C141"/>
  <c r="B141"/>
  <c r="Z140"/>
  <c r="Y140"/>
  <c r="X140"/>
  <c r="H139"/>
  <c r="F139"/>
  <c r="K138"/>
  <c r="G138"/>
  <c r="F138"/>
  <c r="K137"/>
  <c r="G137"/>
  <c r="F137"/>
  <c r="K136"/>
  <c r="H136"/>
  <c r="G136"/>
  <c r="K135"/>
  <c r="H135"/>
  <c r="G135"/>
  <c r="K134"/>
  <c r="H134"/>
  <c r="G134"/>
  <c r="K133"/>
  <c r="H133"/>
  <c r="G133"/>
  <c r="G131"/>
  <c r="E131"/>
  <c r="J131"/>
  <c r="D131"/>
  <c r="C131"/>
  <c r="B131"/>
  <c r="Z130"/>
  <c r="Y130"/>
  <c r="X130"/>
  <c r="H129"/>
  <c r="F129"/>
  <c r="K128"/>
  <c r="G128"/>
  <c r="F128"/>
  <c r="K127"/>
  <c r="G127"/>
  <c r="F127"/>
  <c r="K126"/>
  <c r="H126"/>
  <c r="G126"/>
  <c r="K125"/>
  <c r="H125"/>
  <c r="G125"/>
  <c r="K124"/>
  <c r="H124"/>
  <c r="G124"/>
  <c r="G122"/>
  <c r="E122"/>
  <c r="J122"/>
  <c r="D122"/>
  <c r="C122"/>
  <c r="B122"/>
  <c r="Z121"/>
  <c r="Y121"/>
  <c r="X121"/>
  <c r="H120"/>
  <c r="F120"/>
  <c r="K119"/>
  <c r="G119"/>
  <c r="F119"/>
  <c r="K118"/>
  <c r="G118"/>
  <c r="F118"/>
  <c r="K117"/>
  <c r="H117"/>
  <c r="G117"/>
  <c r="K116"/>
  <c r="H116"/>
  <c r="G116"/>
  <c r="K115"/>
  <c r="H115"/>
  <c r="G115"/>
  <c r="G113"/>
  <c r="E113"/>
  <c r="J113"/>
  <c r="D113"/>
  <c r="C113"/>
  <c r="B113"/>
  <c r="Z112"/>
  <c r="Y112"/>
  <c r="X112"/>
  <c r="H111"/>
  <c r="F111"/>
  <c r="K110"/>
  <c r="G110"/>
  <c r="F110"/>
  <c r="K109"/>
  <c r="G109"/>
  <c r="F109"/>
  <c r="K108"/>
  <c r="H108"/>
  <c r="G108"/>
  <c r="K107"/>
  <c r="H107"/>
  <c r="G107"/>
  <c r="K106"/>
  <c r="H106"/>
  <c r="G106"/>
  <c r="G104"/>
  <c r="E104"/>
  <c r="J104"/>
  <c r="D104"/>
  <c r="C104"/>
  <c r="B104"/>
  <c r="Z103"/>
  <c r="Y103"/>
  <c r="X103"/>
  <c r="H102"/>
  <c r="F102"/>
  <c r="K101"/>
  <c r="G101"/>
  <c r="F101"/>
  <c r="K100"/>
  <c r="G100"/>
  <c r="F100"/>
  <c r="K99"/>
  <c r="H99"/>
  <c r="G99"/>
  <c r="K98"/>
  <c r="H98"/>
  <c r="G98"/>
  <c r="G96"/>
  <c r="E96"/>
  <c r="J96"/>
  <c r="D96"/>
  <c r="C96"/>
  <c r="B96"/>
  <c r="Z95"/>
  <c r="Y95"/>
  <c r="X95"/>
  <c r="H94"/>
  <c r="F94"/>
  <c r="K93"/>
  <c r="G93"/>
  <c r="F93"/>
  <c r="K92"/>
  <c r="G92"/>
  <c r="F92"/>
  <c r="K91"/>
  <c r="H91"/>
  <c r="G91"/>
  <c r="G89"/>
  <c r="E89"/>
  <c r="J89"/>
  <c r="D89"/>
  <c r="C89"/>
  <c r="B89"/>
  <c r="Z88"/>
  <c r="Y88"/>
  <c r="X88"/>
  <c r="H87"/>
  <c r="F87"/>
  <c r="K86"/>
  <c r="G86"/>
  <c r="F86"/>
  <c r="K85"/>
  <c r="G85"/>
  <c r="F85"/>
  <c r="K84"/>
  <c r="H84"/>
  <c r="G84"/>
  <c r="K83"/>
  <c r="H83"/>
  <c r="G83"/>
  <c r="K82"/>
  <c r="H82"/>
  <c r="G82"/>
  <c r="G80"/>
  <c r="E80"/>
  <c r="J80"/>
  <c r="D80"/>
  <c r="C80"/>
  <c r="B80"/>
  <c r="Z79"/>
  <c r="Y79"/>
  <c r="X79"/>
  <c r="H78"/>
  <c r="F78"/>
  <c r="K77"/>
  <c r="G77"/>
  <c r="F77"/>
  <c r="K76"/>
  <c r="G76"/>
  <c r="F76"/>
  <c r="K75"/>
  <c r="H75"/>
  <c r="G75"/>
  <c r="K74"/>
  <c r="H74"/>
  <c r="G74"/>
  <c r="K73"/>
  <c r="H73"/>
  <c r="G73"/>
  <c r="G71"/>
  <c r="E71"/>
  <c r="J71"/>
  <c r="D71"/>
  <c r="C71"/>
  <c r="B71"/>
  <c r="Z70"/>
  <c r="Y70"/>
  <c r="X70"/>
  <c r="H69"/>
  <c r="F69"/>
  <c r="K68"/>
  <c r="G68"/>
  <c r="F68"/>
  <c r="K67"/>
  <c r="G67"/>
  <c r="F67"/>
  <c r="K66"/>
  <c r="H66"/>
  <c r="G66"/>
  <c r="K65"/>
  <c r="H65"/>
  <c r="G65"/>
  <c r="K64"/>
  <c r="H64"/>
  <c r="G64"/>
  <c r="G62"/>
  <c r="E62"/>
  <c r="J62"/>
  <c r="D62"/>
  <c r="C62"/>
  <c r="B62"/>
  <c r="Z61"/>
  <c r="Y61"/>
  <c r="X61"/>
  <c r="H60"/>
  <c r="F60"/>
  <c r="K59"/>
  <c r="G59"/>
  <c r="F59"/>
  <c r="K58"/>
  <c r="G58"/>
  <c r="F58"/>
  <c r="K57"/>
  <c r="H57"/>
  <c r="G57"/>
  <c r="K56"/>
  <c r="H56"/>
  <c r="G56"/>
  <c r="K55"/>
  <c r="H55"/>
  <c r="G55"/>
  <c r="K54"/>
  <c r="H54"/>
  <c r="G54"/>
  <c r="G53"/>
  <c r="F53"/>
  <c r="E53"/>
  <c r="J53"/>
  <c r="D53"/>
  <c r="C53"/>
  <c r="B53"/>
  <c r="Z52"/>
  <c r="Y52"/>
  <c r="X52"/>
  <c r="H51"/>
  <c r="F51"/>
  <c r="K50"/>
  <c r="G50"/>
  <c r="F50"/>
  <c r="K49"/>
  <c r="G49"/>
  <c r="F49"/>
  <c r="K48"/>
  <c r="H48"/>
  <c r="G48"/>
  <c r="K47"/>
  <c r="H47"/>
  <c r="G47"/>
  <c r="K46"/>
  <c r="H46"/>
  <c r="G46"/>
  <c r="G45"/>
  <c r="F45"/>
  <c r="E45"/>
  <c r="J45"/>
  <c r="D45"/>
  <c r="C45"/>
  <c r="B45"/>
  <c r="Z44"/>
  <c r="Y44"/>
  <c r="X44"/>
  <c r="H43"/>
  <c r="F43"/>
  <c r="K42"/>
  <c r="G42"/>
  <c r="F42"/>
  <c r="K41"/>
  <c r="G41"/>
  <c r="F41"/>
  <c r="K40"/>
  <c r="H40"/>
  <c r="G40"/>
  <c r="K39"/>
  <c r="H39"/>
  <c r="G39"/>
  <c r="K38"/>
  <c r="H38"/>
  <c r="G38"/>
  <c r="G37"/>
  <c r="F37"/>
  <c r="E37"/>
  <c r="J37"/>
  <c r="D37"/>
  <c r="C37"/>
  <c r="B37"/>
  <c r="AE36"/>
  <c r="A36"/>
  <c r="G26"/>
  <c r="K22"/>
  <c r="K21"/>
  <c r="K20"/>
  <c r="K19"/>
  <c r="K16"/>
  <c r="AD17"/>
  <c r="C17"/>
  <c r="K14"/>
  <c r="AD13"/>
  <c r="K12"/>
  <c r="C13"/>
  <c r="AD11"/>
  <c r="K10"/>
  <c r="C11"/>
  <c r="AD9"/>
  <c r="K8"/>
  <c r="C9"/>
  <c r="A1"/>
  <c r="H697" i="5"/>
  <c r="H693"/>
  <c r="C697"/>
  <c r="C693"/>
  <c r="C687"/>
  <c r="C686"/>
  <c r="C685"/>
  <c r="C684"/>
  <c r="C683"/>
  <c r="C682"/>
  <c r="C681"/>
  <c r="C680"/>
  <c r="C679"/>
  <c r="Z673"/>
  <c r="Y673"/>
  <c r="X673"/>
  <c r="G672"/>
  <c r="E672"/>
  <c r="J671"/>
  <c r="F671"/>
  <c r="E671"/>
  <c r="J670"/>
  <c r="F670"/>
  <c r="E670"/>
  <c r="J669"/>
  <c r="G669"/>
  <c r="F669"/>
  <c r="J668"/>
  <c r="G668"/>
  <c r="F668"/>
  <c r="J667"/>
  <c r="G667"/>
  <c r="F667"/>
  <c r="J666"/>
  <c r="G666"/>
  <c r="F666"/>
  <c r="F664"/>
  <c r="D664"/>
  <c r="I664"/>
  <c r="C664"/>
  <c r="B664"/>
  <c r="A664"/>
  <c r="Z663"/>
  <c r="Y663"/>
  <c r="X663"/>
  <c r="G662"/>
  <c r="E662"/>
  <c r="J661"/>
  <c r="F661"/>
  <c r="E661"/>
  <c r="J660"/>
  <c r="F660"/>
  <c r="E660"/>
  <c r="J659"/>
  <c r="G659"/>
  <c r="F659"/>
  <c r="J658"/>
  <c r="G658"/>
  <c r="F658"/>
  <c r="J657"/>
  <c r="G657"/>
  <c r="F657"/>
  <c r="J656"/>
  <c r="G656"/>
  <c r="F656"/>
  <c r="F654"/>
  <c r="D654"/>
  <c r="I654"/>
  <c r="C654"/>
  <c r="B654"/>
  <c r="A654"/>
  <c r="Z653"/>
  <c r="Y653"/>
  <c r="X653"/>
  <c r="G652"/>
  <c r="E652"/>
  <c r="J651"/>
  <c r="F651"/>
  <c r="E651"/>
  <c r="J650"/>
  <c r="F650"/>
  <c r="E650"/>
  <c r="J649"/>
  <c r="G649"/>
  <c r="F649"/>
  <c r="J648"/>
  <c r="G648"/>
  <c r="F648"/>
  <c r="J647"/>
  <c r="G647"/>
  <c r="F647"/>
  <c r="J646"/>
  <c r="G646"/>
  <c r="F646"/>
  <c r="F644"/>
  <c r="D644"/>
  <c r="I644"/>
  <c r="C644"/>
  <c r="B644"/>
  <c r="A644"/>
  <c r="Z643"/>
  <c r="Y643"/>
  <c r="X643"/>
  <c r="G642"/>
  <c r="E642"/>
  <c r="J641"/>
  <c r="F641"/>
  <c r="E641"/>
  <c r="J640"/>
  <c r="F640"/>
  <c r="E640"/>
  <c r="J639"/>
  <c r="G639"/>
  <c r="F639"/>
  <c r="J638"/>
  <c r="G638"/>
  <c r="F638"/>
  <c r="J637"/>
  <c r="G637"/>
  <c r="F637"/>
  <c r="F636"/>
  <c r="E636"/>
  <c r="D636"/>
  <c r="I636"/>
  <c r="C636"/>
  <c r="B636"/>
  <c r="A636"/>
  <c r="Z635"/>
  <c r="Y635"/>
  <c r="X635"/>
  <c r="G634"/>
  <c r="E634"/>
  <c r="J633"/>
  <c r="F633"/>
  <c r="E633"/>
  <c r="J632"/>
  <c r="F632"/>
  <c r="E632"/>
  <c r="J631"/>
  <c r="G631"/>
  <c r="F631"/>
  <c r="J630"/>
  <c r="G630"/>
  <c r="F630"/>
  <c r="J629"/>
  <c r="G629"/>
  <c r="F629"/>
  <c r="J628"/>
  <c r="G628"/>
  <c r="F628"/>
  <c r="F627"/>
  <c r="E627"/>
  <c r="D627"/>
  <c r="I627"/>
  <c r="C627"/>
  <c r="B627"/>
  <c r="A627"/>
  <c r="Z626"/>
  <c r="Y626"/>
  <c r="X626"/>
  <c r="J625"/>
  <c r="G625"/>
  <c r="F625"/>
  <c r="F624"/>
  <c r="E624"/>
  <c r="D624"/>
  <c r="I624"/>
  <c r="C624"/>
  <c r="B624"/>
  <c r="A624"/>
  <c r="Z623"/>
  <c r="Y623"/>
  <c r="X623"/>
  <c r="J622"/>
  <c r="Y622"/>
  <c r="F622"/>
  <c r="D622"/>
  <c r="C622"/>
  <c r="B622"/>
  <c r="A622"/>
  <c r="G621"/>
  <c r="E621"/>
  <c r="J620"/>
  <c r="F620"/>
  <c r="E620"/>
  <c r="J619"/>
  <c r="F619"/>
  <c r="E619"/>
  <c r="J618"/>
  <c r="G618"/>
  <c r="F618"/>
  <c r="J617"/>
  <c r="G617"/>
  <c r="F617"/>
  <c r="J616"/>
  <c r="G616"/>
  <c r="F616"/>
  <c r="J615"/>
  <c r="G615"/>
  <c r="F615"/>
  <c r="F613"/>
  <c r="D613"/>
  <c r="I613"/>
  <c r="C613"/>
  <c r="B613"/>
  <c r="A613"/>
  <c r="Z612"/>
  <c r="Y612"/>
  <c r="X612"/>
  <c r="J611"/>
  <c r="G611"/>
  <c r="F611"/>
  <c r="F610"/>
  <c r="E610"/>
  <c r="D610"/>
  <c r="I610"/>
  <c r="C610"/>
  <c r="B610"/>
  <c r="A610"/>
  <c r="Z609"/>
  <c r="Y609"/>
  <c r="X609"/>
  <c r="J608"/>
  <c r="Y608"/>
  <c r="F608"/>
  <c r="D608"/>
  <c r="C608"/>
  <c r="B608"/>
  <c r="A608"/>
  <c r="G607"/>
  <c r="E607"/>
  <c r="J606"/>
  <c r="F606"/>
  <c r="E606"/>
  <c r="J605"/>
  <c r="F605"/>
  <c r="E605"/>
  <c r="J604"/>
  <c r="G604"/>
  <c r="F604"/>
  <c r="J603"/>
  <c r="G603"/>
  <c r="F603"/>
  <c r="J602"/>
  <c r="G602"/>
  <c r="F602"/>
  <c r="F600"/>
  <c r="D600"/>
  <c r="I600"/>
  <c r="C600"/>
  <c r="B600"/>
  <c r="A600"/>
  <c r="Z599"/>
  <c r="Y599"/>
  <c r="X599"/>
  <c r="G598"/>
  <c r="E598"/>
  <c r="J597"/>
  <c r="F597"/>
  <c r="E597"/>
  <c r="J596"/>
  <c r="F596"/>
  <c r="E596"/>
  <c r="J595"/>
  <c r="G595"/>
  <c r="F595"/>
  <c r="J594"/>
  <c r="G594"/>
  <c r="F594"/>
  <c r="J593"/>
  <c r="G593"/>
  <c r="F593"/>
  <c r="F591"/>
  <c r="D591"/>
  <c r="I591"/>
  <c r="C591"/>
  <c r="B591"/>
  <c r="A591"/>
  <c r="Z590"/>
  <c r="Y590"/>
  <c r="X590"/>
  <c r="J589"/>
  <c r="G589"/>
  <c r="F589"/>
  <c r="F588"/>
  <c r="E588"/>
  <c r="D588"/>
  <c r="I588"/>
  <c r="C588"/>
  <c r="B588"/>
  <c r="A588"/>
  <c r="Z587"/>
  <c r="Y587"/>
  <c r="X587"/>
  <c r="J586"/>
  <c r="G586"/>
  <c r="F586"/>
  <c r="F585"/>
  <c r="E585"/>
  <c r="D585"/>
  <c r="I585"/>
  <c r="C585"/>
  <c r="B585"/>
  <c r="A585"/>
  <c r="Z584"/>
  <c r="Y584"/>
  <c r="X584"/>
  <c r="J583"/>
  <c r="Y583"/>
  <c r="F583"/>
  <c r="D583"/>
  <c r="C583"/>
  <c r="B583"/>
  <c r="A583"/>
  <c r="G582"/>
  <c r="E582"/>
  <c r="J581"/>
  <c r="F581"/>
  <c r="E581"/>
  <c r="J580"/>
  <c r="F580"/>
  <c r="E580"/>
  <c r="J579"/>
  <c r="G579"/>
  <c r="F579"/>
  <c r="J578"/>
  <c r="G578"/>
  <c r="F578"/>
  <c r="J577"/>
  <c r="G577"/>
  <c r="F577"/>
  <c r="J576"/>
  <c r="G576"/>
  <c r="F576"/>
  <c r="F574"/>
  <c r="D574"/>
  <c r="I574"/>
  <c r="C574"/>
  <c r="B574"/>
  <c r="A574"/>
  <c r="Z573"/>
  <c r="Y573"/>
  <c r="X573"/>
  <c r="G572"/>
  <c r="E572"/>
  <c r="J571"/>
  <c r="F571"/>
  <c r="E571"/>
  <c r="J570"/>
  <c r="F570"/>
  <c r="E570"/>
  <c r="J569"/>
  <c r="G569"/>
  <c r="F569"/>
  <c r="J568"/>
  <c r="G568"/>
  <c r="F568"/>
  <c r="J567"/>
  <c r="G567"/>
  <c r="F567"/>
  <c r="F565"/>
  <c r="D565"/>
  <c r="I565"/>
  <c r="C565"/>
  <c r="B565"/>
  <c r="A565"/>
  <c r="AF564"/>
  <c r="C564"/>
  <c r="Z563"/>
  <c r="Y563"/>
  <c r="X563"/>
  <c r="J562"/>
  <c r="G562"/>
  <c r="F562"/>
  <c r="F561"/>
  <c r="E561"/>
  <c r="D561"/>
  <c r="I561"/>
  <c r="C561"/>
  <c r="B561"/>
  <c r="A561"/>
  <c r="Z560"/>
  <c r="Y560"/>
  <c r="X560"/>
  <c r="G559"/>
  <c r="E559"/>
  <c r="J558"/>
  <c r="F558"/>
  <c r="E558"/>
  <c r="J557"/>
  <c r="F557"/>
  <c r="E557"/>
  <c r="J556"/>
  <c r="G556"/>
  <c r="F556"/>
  <c r="J555"/>
  <c r="G555"/>
  <c r="F555"/>
  <c r="J554"/>
  <c r="G554"/>
  <c r="F554"/>
  <c r="F553"/>
  <c r="E553"/>
  <c r="D553"/>
  <c r="I553"/>
  <c r="C553"/>
  <c r="B553"/>
  <c r="A553"/>
  <c r="Z552"/>
  <c r="Y552"/>
  <c r="X552"/>
  <c r="G551"/>
  <c r="E551"/>
  <c r="J550"/>
  <c r="F550"/>
  <c r="E550"/>
  <c r="J549"/>
  <c r="F549"/>
  <c r="E549"/>
  <c r="J548"/>
  <c r="G548"/>
  <c r="F548"/>
  <c r="J547"/>
  <c r="G547"/>
  <c r="F547"/>
  <c r="J546"/>
  <c r="G546"/>
  <c r="F546"/>
  <c r="F544"/>
  <c r="D544"/>
  <c r="I544"/>
  <c r="C544"/>
  <c r="B544"/>
  <c r="A544"/>
  <c r="Z543"/>
  <c r="Y543"/>
  <c r="X543"/>
  <c r="G542"/>
  <c r="E542"/>
  <c r="J541"/>
  <c r="F541"/>
  <c r="E541"/>
  <c r="J540"/>
  <c r="F540"/>
  <c r="E540"/>
  <c r="J539"/>
  <c r="G539"/>
  <c r="F539"/>
  <c r="J538"/>
  <c r="G538"/>
  <c r="F538"/>
  <c r="J537"/>
  <c r="G537"/>
  <c r="F537"/>
  <c r="F535"/>
  <c r="D535"/>
  <c r="I535"/>
  <c r="C535"/>
  <c r="B535"/>
  <c r="A535"/>
  <c r="Z534"/>
  <c r="Y534"/>
  <c r="X534"/>
  <c r="G533"/>
  <c r="E533"/>
  <c r="J532"/>
  <c r="F532"/>
  <c r="E532"/>
  <c r="J531"/>
  <c r="F531"/>
  <c r="E531"/>
  <c r="J530"/>
  <c r="G530"/>
  <c r="F530"/>
  <c r="J529"/>
  <c r="G529"/>
  <c r="F529"/>
  <c r="J528"/>
  <c r="G528"/>
  <c r="F528"/>
  <c r="F526"/>
  <c r="D526"/>
  <c r="I526"/>
  <c r="C526"/>
  <c r="B526"/>
  <c r="A526"/>
  <c r="Z525"/>
  <c r="Y525"/>
  <c r="X525"/>
  <c r="G524"/>
  <c r="E524"/>
  <c r="J523"/>
  <c r="F523"/>
  <c r="E523"/>
  <c r="J522"/>
  <c r="F522"/>
  <c r="E522"/>
  <c r="J521"/>
  <c r="G521"/>
  <c r="F521"/>
  <c r="J520"/>
  <c r="G520"/>
  <c r="F520"/>
  <c r="F518"/>
  <c r="D518"/>
  <c r="I518"/>
  <c r="C518"/>
  <c r="B518"/>
  <c r="A518"/>
  <c r="Z517"/>
  <c r="Y517"/>
  <c r="X517"/>
  <c r="J516"/>
  <c r="G516"/>
  <c r="F516"/>
  <c r="F515"/>
  <c r="E515"/>
  <c r="D515"/>
  <c r="I515"/>
  <c r="C515"/>
  <c r="B515"/>
  <c r="A515"/>
  <c r="Z514"/>
  <c r="Y514"/>
  <c r="X514"/>
  <c r="J513"/>
  <c r="Y513"/>
  <c r="F513"/>
  <c r="D513"/>
  <c r="C513"/>
  <c r="B513"/>
  <c r="A513"/>
  <c r="G512"/>
  <c r="E512"/>
  <c r="J511"/>
  <c r="F511"/>
  <c r="E511"/>
  <c r="J510"/>
  <c r="F510"/>
  <c r="E510"/>
  <c r="J509"/>
  <c r="G509"/>
  <c r="F509"/>
  <c r="J508"/>
  <c r="G508"/>
  <c r="F508"/>
  <c r="J507"/>
  <c r="G507"/>
  <c r="F507"/>
  <c r="J506"/>
  <c r="G506"/>
  <c r="F506"/>
  <c r="F504"/>
  <c r="D504"/>
  <c r="I504"/>
  <c r="C504"/>
  <c r="B504"/>
  <c r="A504"/>
  <c r="Z503"/>
  <c r="Y503"/>
  <c r="X503"/>
  <c r="G502"/>
  <c r="E502"/>
  <c r="J501"/>
  <c r="F501"/>
  <c r="E501"/>
  <c r="J500"/>
  <c r="F500"/>
  <c r="E500"/>
  <c r="J499"/>
  <c r="G499"/>
  <c r="F499"/>
  <c r="J498"/>
  <c r="G498"/>
  <c r="F498"/>
  <c r="J497"/>
  <c r="G497"/>
  <c r="F497"/>
  <c r="F495"/>
  <c r="D495"/>
  <c r="I495"/>
  <c r="C495"/>
  <c r="B495"/>
  <c r="A495"/>
  <c r="Z494"/>
  <c r="Y494"/>
  <c r="X494"/>
  <c r="G493"/>
  <c r="E493"/>
  <c r="J492"/>
  <c r="F492"/>
  <c r="E492"/>
  <c r="J491"/>
  <c r="F491"/>
  <c r="E491"/>
  <c r="J490"/>
  <c r="G490"/>
  <c r="F490"/>
  <c r="J489"/>
  <c r="G489"/>
  <c r="F489"/>
  <c r="J488"/>
  <c r="G488"/>
  <c r="F488"/>
  <c r="J487"/>
  <c r="G487"/>
  <c r="F487"/>
  <c r="F485"/>
  <c r="D485"/>
  <c r="I485"/>
  <c r="C485"/>
  <c r="B485"/>
  <c r="A485"/>
  <c r="Z484"/>
  <c r="Y484"/>
  <c r="X484"/>
  <c r="J483"/>
  <c r="G483"/>
  <c r="F483"/>
  <c r="F482"/>
  <c r="E482"/>
  <c r="D482"/>
  <c r="I482"/>
  <c r="C482"/>
  <c r="B482"/>
  <c r="A482"/>
  <c r="Z481"/>
  <c r="Y481"/>
  <c r="X481"/>
  <c r="J480"/>
  <c r="Y480"/>
  <c r="F480"/>
  <c r="D480"/>
  <c r="C480"/>
  <c r="B480"/>
  <c r="A480"/>
  <c r="G479"/>
  <c r="E479"/>
  <c r="J478"/>
  <c r="F478"/>
  <c r="E478"/>
  <c r="J477"/>
  <c r="F477"/>
  <c r="E477"/>
  <c r="J476"/>
  <c r="G476"/>
  <c r="F476"/>
  <c r="J475"/>
  <c r="G475"/>
  <c r="F475"/>
  <c r="J474"/>
  <c r="G474"/>
  <c r="F474"/>
  <c r="J473"/>
  <c r="G473"/>
  <c r="F473"/>
  <c r="F471"/>
  <c r="D471"/>
  <c r="I471"/>
  <c r="C471"/>
  <c r="B471"/>
  <c r="A471"/>
  <c r="Z470"/>
  <c r="Y470"/>
  <c r="X470"/>
  <c r="J469"/>
  <c r="H469"/>
  <c r="G469"/>
  <c r="F469"/>
  <c r="F468"/>
  <c r="E468"/>
  <c r="D468"/>
  <c r="I468"/>
  <c r="C468"/>
  <c r="B468"/>
  <c r="A468"/>
  <c r="Z467"/>
  <c r="Y467"/>
  <c r="X467"/>
  <c r="G466"/>
  <c r="E466"/>
  <c r="J465"/>
  <c r="F465"/>
  <c r="E465"/>
  <c r="J464"/>
  <c r="F464"/>
  <c r="E464"/>
  <c r="J463"/>
  <c r="G463"/>
  <c r="F463"/>
  <c r="J462"/>
  <c r="G462"/>
  <c r="F462"/>
  <c r="J461"/>
  <c r="G461"/>
  <c r="F461"/>
  <c r="J460"/>
  <c r="G460"/>
  <c r="F460"/>
  <c r="F458"/>
  <c r="D458"/>
  <c r="I458"/>
  <c r="C458"/>
  <c r="B458"/>
  <c r="A458"/>
  <c r="Z457"/>
  <c r="Y457"/>
  <c r="X457"/>
  <c r="G456"/>
  <c r="E456"/>
  <c r="J455"/>
  <c r="F455"/>
  <c r="E455"/>
  <c r="J454"/>
  <c r="F454"/>
  <c r="E454"/>
  <c r="J453"/>
  <c r="G453"/>
  <c r="F453"/>
  <c r="J452"/>
  <c r="G452"/>
  <c r="F452"/>
  <c r="J451"/>
  <c r="G451"/>
  <c r="F451"/>
  <c r="J450"/>
  <c r="G450"/>
  <c r="F450"/>
  <c r="F448"/>
  <c r="D448"/>
  <c r="I448"/>
  <c r="C448"/>
  <c r="B448"/>
  <c r="A448"/>
  <c r="Z447"/>
  <c r="Y447"/>
  <c r="X447"/>
  <c r="G446"/>
  <c r="E446"/>
  <c r="J445"/>
  <c r="F445"/>
  <c r="E445"/>
  <c r="J444"/>
  <c r="F444"/>
  <c r="E444"/>
  <c r="J443"/>
  <c r="G443"/>
  <c r="F443"/>
  <c r="J442"/>
  <c r="G442"/>
  <c r="F442"/>
  <c r="J441"/>
  <c r="G441"/>
  <c r="F441"/>
  <c r="J440"/>
  <c r="G440"/>
  <c r="F440"/>
  <c r="F438"/>
  <c r="D438"/>
  <c r="I438"/>
  <c r="C438"/>
  <c r="B438"/>
  <c r="A438"/>
  <c r="Z437"/>
  <c r="Y437"/>
  <c r="X437"/>
  <c r="G436"/>
  <c r="E436"/>
  <c r="J435"/>
  <c r="F435"/>
  <c r="E435"/>
  <c r="J434"/>
  <c r="F434"/>
  <c r="E434"/>
  <c r="J433"/>
  <c r="G433"/>
  <c r="F433"/>
  <c r="J432"/>
  <c r="G432"/>
  <c r="F432"/>
  <c r="J431"/>
  <c r="G431"/>
  <c r="F431"/>
  <c r="J430"/>
  <c r="G430"/>
  <c r="F430"/>
  <c r="F428"/>
  <c r="D428"/>
  <c r="I428"/>
  <c r="C428"/>
  <c r="B428"/>
  <c r="A428"/>
  <c r="Z427"/>
  <c r="Y427"/>
  <c r="X427"/>
  <c r="G426"/>
  <c r="E426"/>
  <c r="J425"/>
  <c r="F425"/>
  <c r="E425"/>
  <c r="J424"/>
  <c r="F424"/>
  <c r="E424"/>
  <c r="J423"/>
  <c r="G423"/>
  <c r="F423"/>
  <c r="J422"/>
  <c r="G422"/>
  <c r="F422"/>
  <c r="J421"/>
  <c r="G421"/>
  <c r="F421"/>
  <c r="J420"/>
  <c r="G420"/>
  <c r="F420"/>
  <c r="F418"/>
  <c r="D418"/>
  <c r="I418"/>
  <c r="C418"/>
  <c r="B418"/>
  <c r="A418"/>
  <c r="Z417"/>
  <c r="Y417"/>
  <c r="X417"/>
  <c r="G416"/>
  <c r="E416"/>
  <c r="J415"/>
  <c r="F415"/>
  <c r="E415"/>
  <c r="J414"/>
  <c r="F414"/>
  <c r="E414"/>
  <c r="J413"/>
  <c r="G413"/>
  <c r="F413"/>
  <c r="J412"/>
  <c r="G412"/>
  <c r="F412"/>
  <c r="J411"/>
  <c r="G411"/>
  <c r="F411"/>
  <c r="J410"/>
  <c r="G410"/>
  <c r="F410"/>
  <c r="F408"/>
  <c r="D408"/>
  <c r="I408"/>
  <c r="C408"/>
  <c r="B408"/>
  <c r="A408"/>
  <c r="Z407"/>
  <c r="Y407"/>
  <c r="X407"/>
  <c r="G406"/>
  <c r="E406"/>
  <c r="J405"/>
  <c r="F405"/>
  <c r="E405"/>
  <c r="J404"/>
  <c r="F404"/>
  <c r="E404"/>
  <c r="J403"/>
  <c r="G403"/>
  <c r="F403"/>
  <c r="J402"/>
  <c r="G402"/>
  <c r="F402"/>
  <c r="J401"/>
  <c r="G401"/>
  <c r="F401"/>
  <c r="J400"/>
  <c r="G400"/>
  <c r="F400"/>
  <c r="F398"/>
  <c r="D398"/>
  <c r="I398"/>
  <c r="C398"/>
  <c r="B398"/>
  <c r="A398"/>
  <c r="AF397"/>
  <c r="C397"/>
  <c r="Z396"/>
  <c r="Y396"/>
  <c r="X396"/>
  <c r="G395"/>
  <c r="E395"/>
  <c r="J394"/>
  <c r="F394"/>
  <c r="E394"/>
  <c r="J393"/>
  <c r="F393"/>
  <c r="E393"/>
  <c r="J392"/>
  <c r="G392"/>
  <c r="F392"/>
  <c r="J391"/>
  <c r="G391"/>
  <c r="F391"/>
  <c r="J390"/>
  <c r="G390"/>
  <c r="F390"/>
  <c r="F388"/>
  <c r="D388"/>
  <c r="I388"/>
  <c r="C388"/>
  <c r="B388"/>
  <c r="A388"/>
  <c r="Z387"/>
  <c r="Y387"/>
  <c r="X387"/>
  <c r="G386"/>
  <c r="E386"/>
  <c r="J385"/>
  <c r="F385"/>
  <c r="E385"/>
  <c r="J384"/>
  <c r="F384"/>
  <c r="E384"/>
  <c r="J383"/>
  <c r="G383"/>
  <c r="F383"/>
  <c r="F381"/>
  <c r="D381"/>
  <c r="I381"/>
  <c r="C381"/>
  <c r="B381"/>
  <c r="A381"/>
  <c r="Z380"/>
  <c r="Y380"/>
  <c r="X380"/>
  <c r="G379"/>
  <c r="E379"/>
  <c r="J378"/>
  <c r="F378"/>
  <c r="E378"/>
  <c r="J377"/>
  <c r="F377"/>
  <c r="E377"/>
  <c r="J376"/>
  <c r="G376"/>
  <c r="F376"/>
  <c r="F374"/>
  <c r="D374"/>
  <c r="I374"/>
  <c r="C374"/>
  <c r="B374"/>
  <c r="A374"/>
  <c r="Z373"/>
  <c r="Y373"/>
  <c r="X373"/>
  <c r="G372"/>
  <c r="E372"/>
  <c r="J371"/>
  <c r="F371"/>
  <c r="E371"/>
  <c r="J370"/>
  <c r="F370"/>
  <c r="E370"/>
  <c r="J369"/>
  <c r="G369"/>
  <c r="F369"/>
  <c r="J368"/>
  <c r="G368"/>
  <c r="F368"/>
  <c r="J367"/>
  <c r="G367"/>
  <c r="F367"/>
  <c r="F365"/>
  <c r="D365"/>
  <c r="I365"/>
  <c r="C365"/>
  <c r="B365"/>
  <c r="A365"/>
  <c r="Z364"/>
  <c r="Y364"/>
  <c r="X364"/>
  <c r="G363"/>
  <c r="E363"/>
  <c r="J362"/>
  <c r="F362"/>
  <c r="E362"/>
  <c r="J361"/>
  <c r="F361"/>
  <c r="E361"/>
  <c r="J360"/>
  <c r="G360"/>
  <c r="F360"/>
  <c r="J359"/>
  <c r="G359"/>
  <c r="F359"/>
  <c r="J358"/>
  <c r="G358"/>
  <c r="F358"/>
  <c r="F356"/>
  <c r="D356"/>
  <c r="I356"/>
  <c r="C356"/>
  <c r="B356"/>
  <c r="A356"/>
  <c r="Z355"/>
  <c r="Y355"/>
  <c r="X355"/>
  <c r="G354"/>
  <c r="E354"/>
  <c r="J353"/>
  <c r="F353"/>
  <c r="E353"/>
  <c r="J352"/>
  <c r="F352"/>
  <c r="E352"/>
  <c r="J351"/>
  <c r="G351"/>
  <c r="F351"/>
  <c r="F349"/>
  <c r="D349"/>
  <c r="I349"/>
  <c r="C349"/>
  <c r="B349"/>
  <c r="A349"/>
  <c r="Z348"/>
  <c r="Y348"/>
  <c r="X348"/>
  <c r="G347"/>
  <c r="E347"/>
  <c r="J346"/>
  <c r="F346"/>
  <c r="E346"/>
  <c r="J345"/>
  <c r="F345"/>
  <c r="E345"/>
  <c r="J344"/>
  <c r="G344"/>
  <c r="F344"/>
  <c r="J343"/>
  <c r="G343"/>
  <c r="F343"/>
  <c r="J342"/>
  <c r="G342"/>
  <c r="F342"/>
  <c r="F340"/>
  <c r="D340"/>
  <c r="I340"/>
  <c r="C340"/>
  <c r="B340"/>
  <c r="A340"/>
  <c r="AF339"/>
  <c r="C339"/>
  <c r="AE338"/>
  <c r="C335"/>
  <c r="Z331"/>
  <c r="Y331"/>
  <c r="X331"/>
  <c r="G330"/>
  <c r="E330"/>
  <c r="J329"/>
  <c r="F329"/>
  <c r="E329"/>
  <c r="J328"/>
  <c r="F328"/>
  <c r="E328"/>
  <c r="J327"/>
  <c r="G327"/>
  <c r="F327"/>
  <c r="J326"/>
  <c r="G326"/>
  <c r="F326"/>
  <c r="J325"/>
  <c r="G325"/>
  <c r="F325"/>
  <c r="F323"/>
  <c r="D323"/>
  <c r="I323"/>
  <c r="C323"/>
  <c r="B323"/>
  <c r="A323"/>
  <c r="Z322"/>
  <c r="Y322"/>
  <c r="X322"/>
  <c r="J321"/>
  <c r="G321"/>
  <c r="F321"/>
  <c r="F320"/>
  <c r="E320"/>
  <c r="D320"/>
  <c r="I320"/>
  <c r="C320"/>
  <c r="B320"/>
  <c r="A320"/>
  <c r="Z319"/>
  <c r="Y319"/>
  <c r="X319"/>
  <c r="J318"/>
  <c r="G318"/>
  <c r="F318"/>
  <c r="F317"/>
  <c r="E317"/>
  <c r="D317"/>
  <c r="I317"/>
  <c r="C317"/>
  <c r="B317"/>
  <c r="A317"/>
  <c r="Z316"/>
  <c r="Y316"/>
  <c r="X316"/>
  <c r="J315"/>
  <c r="G315"/>
  <c r="F315"/>
  <c r="F314"/>
  <c r="E314"/>
  <c r="D314"/>
  <c r="I314"/>
  <c r="C314"/>
  <c r="B314"/>
  <c r="A314"/>
  <c r="Z313"/>
  <c r="Y313"/>
  <c r="X313"/>
  <c r="J312"/>
  <c r="G312"/>
  <c r="F312"/>
  <c r="F311"/>
  <c r="E311"/>
  <c r="D311"/>
  <c r="I311"/>
  <c r="C311"/>
  <c r="B311"/>
  <c r="A311"/>
  <c r="Z310"/>
  <c r="Y310"/>
  <c r="X310"/>
  <c r="G309"/>
  <c r="E309"/>
  <c r="J308"/>
  <c r="F308"/>
  <c r="E308"/>
  <c r="J307"/>
  <c r="F307"/>
  <c r="E307"/>
  <c r="J306"/>
  <c r="G306"/>
  <c r="F306"/>
  <c r="J305"/>
  <c r="H305"/>
  <c r="R305" s="1"/>
  <c r="G305"/>
  <c r="F305"/>
  <c r="F303"/>
  <c r="D303"/>
  <c r="I303"/>
  <c r="C303"/>
  <c r="B303"/>
  <c r="A303"/>
  <c r="Z302"/>
  <c r="Y302"/>
  <c r="X302"/>
  <c r="L302"/>
  <c r="Q302" s="1"/>
  <c r="J301"/>
  <c r="G301"/>
  <c r="F301"/>
  <c r="F300"/>
  <c r="E300"/>
  <c r="D300"/>
  <c r="I300"/>
  <c r="C300"/>
  <c r="B300"/>
  <c r="A300"/>
  <c r="Z299"/>
  <c r="Y299"/>
  <c r="X299"/>
  <c r="G298"/>
  <c r="E298"/>
  <c r="J297"/>
  <c r="F297"/>
  <c r="E297"/>
  <c r="J296"/>
  <c r="F296"/>
  <c r="E296"/>
  <c r="J295"/>
  <c r="H295"/>
  <c r="G295"/>
  <c r="F295"/>
  <c r="J294"/>
  <c r="G294"/>
  <c r="F294"/>
  <c r="K293"/>
  <c r="J293"/>
  <c r="H293"/>
  <c r="R293" s="1"/>
  <c r="G293"/>
  <c r="F293"/>
  <c r="F292"/>
  <c r="E292"/>
  <c r="D292"/>
  <c r="I292"/>
  <c r="C292"/>
  <c r="B292"/>
  <c r="A292"/>
  <c r="Z291"/>
  <c r="Y291"/>
  <c r="X291"/>
  <c r="G290"/>
  <c r="E290"/>
  <c r="J289"/>
  <c r="F289"/>
  <c r="E289"/>
  <c r="J288"/>
  <c r="F288"/>
  <c r="E288"/>
  <c r="J287"/>
  <c r="G287"/>
  <c r="F287"/>
  <c r="J286"/>
  <c r="G286"/>
  <c r="F286"/>
  <c r="J285"/>
  <c r="G285"/>
  <c r="F285"/>
  <c r="F283"/>
  <c r="D283"/>
  <c r="I283"/>
  <c r="C283"/>
  <c r="B283"/>
  <c r="A283"/>
  <c r="Z282"/>
  <c r="Y282"/>
  <c r="X282"/>
  <c r="J281"/>
  <c r="G281"/>
  <c r="F281"/>
  <c r="F280"/>
  <c r="E280"/>
  <c r="D280"/>
  <c r="I280"/>
  <c r="C280"/>
  <c r="B280"/>
  <c r="A280"/>
  <c r="Z279"/>
  <c r="Y279"/>
  <c r="X279"/>
  <c r="J278"/>
  <c r="G278"/>
  <c r="F278"/>
  <c r="F277"/>
  <c r="E277"/>
  <c r="D277"/>
  <c r="I277"/>
  <c r="C277"/>
  <c r="B277"/>
  <c r="A277"/>
  <c r="Z276"/>
  <c r="Y276"/>
  <c r="X276"/>
  <c r="J275"/>
  <c r="Y275"/>
  <c r="F275"/>
  <c r="D275"/>
  <c r="C275"/>
  <c r="B275"/>
  <c r="A275"/>
  <c r="G274"/>
  <c r="E274"/>
  <c r="J273"/>
  <c r="F273"/>
  <c r="E273"/>
  <c r="J272"/>
  <c r="F272"/>
  <c r="E272"/>
  <c r="J271"/>
  <c r="G271"/>
  <c r="F271"/>
  <c r="J270"/>
  <c r="G270"/>
  <c r="F270"/>
  <c r="J269"/>
  <c r="G269"/>
  <c r="F269"/>
  <c r="J268"/>
  <c r="G268"/>
  <c r="F268"/>
  <c r="F266"/>
  <c r="D266"/>
  <c r="I266"/>
  <c r="C266"/>
  <c r="B266"/>
  <c r="A266"/>
  <c r="Z265"/>
  <c r="Y265"/>
  <c r="X265"/>
  <c r="G264"/>
  <c r="E264"/>
  <c r="J263"/>
  <c r="F263"/>
  <c r="E263"/>
  <c r="J262"/>
  <c r="F262"/>
  <c r="E262"/>
  <c r="J261"/>
  <c r="G261"/>
  <c r="F261"/>
  <c r="J260"/>
  <c r="G260"/>
  <c r="F260"/>
  <c r="J259"/>
  <c r="G259"/>
  <c r="F259"/>
  <c r="F257"/>
  <c r="D257"/>
  <c r="I257"/>
  <c r="C257"/>
  <c r="B257"/>
  <c r="A257"/>
  <c r="Z256"/>
  <c r="Y256"/>
  <c r="X256"/>
  <c r="G255"/>
  <c r="E255"/>
  <c r="J254"/>
  <c r="F254"/>
  <c r="E254"/>
  <c r="J253"/>
  <c r="F253"/>
  <c r="E253"/>
  <c r="J252"/>
  <c r="G252"/>
  <c r="F252"/>
  <c r="J251"/>
  <c r="G251"/>
  <c r="F251"/>
  <c r="J250"/>
  <c r="G250"/>
  <c r="F250"/>
  <c r="F248"/>
  <c r="D248"/>
  <c r="I248"/>
  <c r="C248"/>
  <c r="B248"/>
  <c r="A248"/>
  <c r="Z247"/>
  <c r="Y247"/>
  <c r="W247"/>
  <c r="J246"/>
  <c r="G246"/>
  <c r="F246"/>
  <c r="F245"/>
  <c r="E245"/>
  <c r="D245"/>
  <c r="I245"/>
  <c r="C245"/>
  <c r="B245"/>
  <c r="A245"/>
  <c r="Z244"/>
  <c r="Y244"/>
  <c r="W244"/>
  <c r="G243"/>
  <c r="E243"/>
  <c r="J242"/>
  <c r="F242"/>
  <c r="E242"/>
  <c r="J241"/>
  <c r="F241"/>
  <c r="E241"/>
  <c r="J240"/>
  <c r="G240"/>
  <c r="F240"/>
  <c r="J239"/>
  <c r="G239"/>
  <c r="F239"/>
  <c r="J238"/>
  <c r="G238"/>
  <c r="F238"/>
  <c r="J237"/>
  <c r="G237"/>
  <c r="F237"/>
  <c r="F235"/>
  <c r="D235"/>
  <c r="I235"/>
  <c r="C235"/>
  <c r="B235"/>
  <c r="A235"/>
  <c r="Z234"/>
  <c r="Y234"/>
  <c r="X234"/>
  <c r="J233"/>
  <c r="G233"/>
  <c r="F233"/>
  <c r="F232"/>
  <c r="E232"/>
  <c r="D232"/>
  <c r="I232"/>
  <c r="C232"/>
  <c r="B232"/>
  <c r="A232"/>
  <c r="Z231"/>
  <c r="Y231"/>
  <c r="X231"/>
  <c r="G230"/>
  <c r="E230"/>
  <c r="J229"/>
  <c r="F229"/>
  <c r="E229"/>
  <c r="J228"/>
  <c r="F228"/>
  <c r="E228"/>
  <c r="J227"/>
  <c r="G227"/>
  <c r="F227"/>
  <c r="J226"/>
  <c r="G226"/>
  <c r="F226"/>
  <c r="J225"/>
  <c r="G225"/>
  <c r="F225"/>
  <c r="J224"/>
  <c r="G224"/>
  <c r="F224"/>
  <c r="F222"/>
  <c r="D222"/>
  <c r="I222"/>
  <c r="C222"/>
  <c r="B222"/>
  <c r="A222"/>
  <c r="Z221"/>
  <c r="Y221"/>
  <c r="X221"/>
  <c r="L221"/>
  <c r="Q221" s="1"/>
  <c r="J220"/>
  <c r="G220"/>
  <c r="F220"/>
  <c r="F219"/>
  <c r="E219"/>
  <c r="D219"/>
  <c r="I219"/>
  <c r="C219"/>
  <c r="B219"/>
  <c r="A219"/>
  <c r="Z218"/>
  <c r="Y218"/>
  <c r="X218"/>
  <c r="G217"/>
  <c r="E217"/>
  <c r="J216"/>
  <c r="F216"/>
  <c r="E216"/>
  <c r="J215"/>
  <c r="F215"/>
  <c r="E215"/>
  <c r="J214"/>
  <c r="G214"/>
  <c r="F214"/>
  <c r="J213"/>
  <c r="G213"/>
  <c r="F213"/>
  <c r="J212"/>
  <c r="G212"/>
  <c r="F212"/>
  <c r="J211"/>
  <c r="G211"/>
  <c r="F211"/>
  <c r="C210"/>
  <c r="F209"/>
  <c r="E209"/>
  <c r="D209"/>
  <c r="I209"/>
  <c r="C209"/>
  <c r="B209"/>
  <c r="A209"/>
  <c r="Z208"/>
  <c r="Y208"/>
  <c r="X208"/>
  <c r="J207"/>
  <c r="H207"/>
  <c r="G207"/>
  <c r="F207"/>
  <c r="F206"/>
  <c r="E206"/>
  <c r="D206"/>
  <c r="I206"/>
  <c r="C206"/>
  <c r="B206"/>
  <c r="A206"/>
  <c r="Z205"/>
  <c r="Y205"/>
  <c r="X205"/>
  <c r="J204"/>
  <c r="Y204"/>
  <c r="F204"/>
  <c r="D204"/>
  <c r="C204"/>
  <c r="B204"/>
  <c r="A204"/>
  <c r="G203"/>
  <c r="E203"/>
  <c r="J202"/>
  <c r="F202"/>
  <c r="E202"/>
  <c r="J201"/>
  <c r="F201"/>
  <c r="E201"/>
  <c r="J200"/>
  <c r="G200"/>
  <c r="F200"/>
  <c r="J199"/>
  <c r="G199"/>
  <c r="F199"/>
  <c r="J198"/>
  <c r="G198"/>
  <c r="F198"/>
  <c r="J197"/>
  <c r="G197"/>
  <c r="F197"/>
  <c r="F195"/>
  <c r="D195"/>
  <c r="I195"/>
  <c r="C195"/>
  <c r="B195"/>
  <c r="A195"/>
  <c r="Z194"/>
  <c r="Y194"/>
  <c r="X194"/>
  <c r="G193"/>
  <c r="E193"/>
  <c r="J192"/>
  <c r="F192"/>
  <c r="E192"/>
  <c r="J191"/>
  <c r="F191"/>
  <c r="E191"/>
  <c r="J190"/>
  <c r="G190"/>
  <c r="F190"/>
  <c r="J189"/>
  <c r="G189"/>
  <c r="F189"/>
  <c r="J188"/>
  <c r="G188"/>
  <c r="F188"/>
  <c r="J187"/>
  <c r="G187"/>
  <c r="F187"/>
  <c r="F185"/>
  <c r="D185"/>
  <c r="I185"/>
  <c r="C185"/>
  <c r="B185"/>
  <c r="A185"/>
  <c r="Z184"/>
  <c r="Y184"/>
  <c r="X184"/>
  <c r="J183"/>
  <c r="G183"/>
  <c r="F183"/>
  <c r="F182"/>
  <c r="E182"/>
  <c r="D182"/>
  <c r="I182"/>
  <c r="C182"/>
  <c r="B182"/>
  <c r="A182"/>
  <c r="Z181"/>
  <c r="Y181"/>
  <c r="X181"/>
  <c r="G180"/>
  <c r="E180"/>
  <c r="J179"/>
  <c r="F179"/>
  <c r="E179"/>
  <c r="J178"/>
  <c r="F178"/>
  <c r="E178"/>
  <c r="J177"/>
  <c r="G177"/>
  <c r="F177"/>
  <c r="J176"/>
  <c r="G176"/>
  <c r="F176"/>
  <c r="J175"/>
  <c r="G175"/>
  <c r="F175"/>
  <c r="J174"/>
  <c r="G174"/>
  <c r="F174"/>
  <c r="F172"/>
  <c r="D172"/>
  <c r="I172"/>
  <c r="C172"/>
  <c r="B172"/>
  <c r="A172"/>
  <c r="Z171"/>
  <c r="Y171"/>
  <c r="X171"/>
  <c r="G170"/>
  <c r="E170"/>
  <c r="J169"/>
  <c r="F169"/>
  <c r="E169"/>
  <c r="J168"/>
  <c r="F168"/>
  <c r="E168"/>
  <c r="J167"/>
  <c r="G167"/>
  <c r="F167"/>
  <c r="J166"/>
  <c r="G166"/>
  <c r="F166"/>
  <c r="J165"/>
  <c r="G165"/>
  <c r="F165"/>
  <c r="J164"/>
  <c r="G164"/>
  <c r="F164"/>
  <c r="F162"/>
  <c r="D162"/>
  <c r="I162"/>
  <c r="C162"/>
  <c r="B162"/>
  <c r="A162"/>
  <c r="Z161"/>
  <c r="Y161"/>
  <c r="X161"/>
  <c r="G160"/>
  <c r="E160"/>
  <c r="J159"/>
  <c r="F159"/>
  <c r="E159"/>
  <c r="J158"/>
  <c r="F158"/>
  <c r="E158"/>
  <c r="J157"/>
  <c r="G157"/>
  <c r="F157"/>
  <c r="J156"/>
  <c r="H156"/>
  <c r="R156" s="1"/>
  <c r="G156"/>
  <c r="F156"/>
  <c r="J155"/>
  <c r="G155"/>
  <c r="F155"/>
  <c r="J154"/>
  <c r="G154"/>
  <c r="F154"/>
  <c r="F152"/>
  <c r="D152"/>
  <c r="I152"/>
  <c r="C152"/>
  <c r="B152"/>
  <c r="A152"/>
  <c r="AE151"/>
  <c r="C148"/>
  <c r="Z144"/>
  <c r="Y144"/>
  <c r="X144"/>
  <c r="G143"/>
  <c r="E143"/>
  <c r="J142"/>
  <c r="F142"/>
  <c r="E142"/>
  <c r="J141"/>
  <c r="F141"/>
  <c r="E141"/>
  <c r="J140"/>
  <c r="G140"/>
  <c r="F140"/>
  <c r="J139"/>
  <c r="G139"/>
  <c r="F139"/>
  <c r="J138"/>
  <c r="H138"/>
  <c r="R138" s="1"/>
  <c r="G138"/>
  <c r="F138"/>
  <c r="F136"/>
  <c r="D136"/>
  <c r="I136"/>
  <c r="C136"/>
  <c r="B136"/>
  <c r="A136"/>
  <c r="Z135"/>
  <c r="Y135"/>
  <c r="X135"/>
  <c r="L135"/>
  <c r="Q135" s="1"/>
  <c r="G134"/>
  <c r="E134"/>
  <c r="J133"/>
  <c r="F133"/>
  <c r="E133"/>
  <c r="J132"/>
  <c r="F132"/>
  <c r="E132"/>
  <c r="J131"/>
  <c r="G131"/>
  <c r="F131"/>
  <c r="J130"/>
  <c r="G130"/>
  <c r="F130"/>
  <c r="J129"/>
  <c r="G129"/>
  <c r="F129"/>
  <c r="J128"/>
  <c r="G128"/>
  <c r="F128"/>
  <c r="F126"/>
  <c r="D126"/>
  <c r="I126"/>
  <c r="C126"/>
  <c r="B126"/>
  <c r="A126"/>
  <c r="Z125"/>
  <c r="Y125"/>
  <c r="X125"/>
  <c r="G124"/>
  <c r="E124"/>
  <c r="J123"/>
  <c r="F123"/>
  <c r="E123"/>
  <c r="J122"/>
  <c r="F122"/>
  <c r="E122"/>
  <c r="J121"/>
  <c r="G121"/>
  <c r="F121"/>
  <c r="J120"/>
  <c r="G120"/>
  <c r="F120"/>
  <c r="J119"/>
  <c r="G119"/>
  <c r="F119"/>
  <c r="F117"/>
  <c r="D117"/>
  <c r="I117"/>
  <c r="C117"/>
  <c r="B117"/>
  <c r="A117"/>
  <c r="Z116"/>
  <c r="Y116"/>
  <c r="X116"/>
  <c r="G115"/>
  <c r="E115"/>
  <c r="J114"/>
  <c r="F114"/>
  <c r="E114"/>
  <c r="J113"/>
  <c r="F113"/>
  <c r="E113"/>
  <c r="J112"/>
  <c r="G112"/>
  <c r="F112"/>
  <c r="J111"/>
  <c r="G111"/>
  <c r="F111"/>
  <c r="J110"/>
  <c r="G110"/>
  <c r="F110"/>
  <c r="F108"/>
  <c r="D108"/>
  <c r="I108"/>
  <c r="C108"/>
  <c r="B108"/>
  <c r="A108"/>
  <c r="Z107"/>
  <c r="Y107"/>
  <c r="X107"/>
  <c r="G106"/>
  <c r="E106"/>
  <c r="J105"/>
  <c r="F105"/>
  <c r="E105"/>
  <c r="J104"/>
  <c r="F104"/>
  <c r="E104"/>
  <c r="J103"/>
  <c r="G103"/>
  <c r="F103"/>
  <c r="J102"/>
  <c r="G102"/>
  <c r="F102"/>
  <c r="J101"/>
  <c r="G101"/>
  <c r="F101"/>
  <c r="C100"/>
  <c r="F99"/>
  <c r="E99"/>
  <c r="D99"/>
  <c r="I99"/>
  <c r="C99"/>
  <c r="B99"/>
  <c r="A99"/>
  <c r="Z98"/>
  <c r="Y98"/>
  <c r="X98"/>
  <c r="G97"/>
  <c r="E97"/>
  <c r="J96"/>
  <c r="F96"/>
  <c r="E96"/>
  <c r="J95"/>
  <c r="F95"/>
  <c r="E95"/>
  <c r="J94"/>
  <c r="G94"/>
  <c r="F94"/>
  <c r="J93"/>
  <c r="G93"/>
  <c r="F93"/>
  <c r="F91"/>
  <c r="D91"/>
  <c r="I91"/>
  <c r="C91"/>
  <c r="B91"/>
  <c r="A91"/>
  <c r="Z90"/>
  <c r="Y90"/>
  <c r="X90"/>
  <c r="G89"/>
  <c r="E89"/>
  <c r="J88"/>
  <c r="F88"/>
  <c r="E88"/>
  <c r="J87"/>
  <c r="F87"/>
  <c r="E87"/>
  <c r="J86"/>
  <c r="H86"/>
  <c r="R86" s="1"/>
  <c r="G86"/>
  <c r="F86"/>
  <c r="F84"/>
  <c r="D84"/>
  <c r="I84"/>
  <c r="C84"/>
  <c r="B84"/>
  <c r="A84"/>
  <c r="Z83"/>
  <c r="Y83"/>
  <c r="X83"/>
  <c r="G82"/>
  <c r="E82"/>
  <c r="J81"/>
  <c r="F81"/>
  <c r="E81"/>
  <c r="J80"/>
  <c r="F80"/>
  <c r="E80"/>
  <c r="J79"/>
  <c r="G79"/>
  <c r="F79"/>
  <c r="J78"/>
  <c r="G78"/>
  <c r="F78"/>
  <c r="J77"/>
  <c r="G77"/>
  <c r="F77"/>
  <c r="F75"/>
  <c r="D75"/>
  <c r="I75"/>
  <c r="C75"/>
  <c r="B75"/>
  <c r="A75"/>
  <c r="Z74"/>
  <c r="Y74"/>
  <c r="X74"/>
  <c r="G73"/>
  <c r="E73"/>
  <c r="J72"/>
  <c r="F72"/>
  <c r="E72"/>
  <c r="J71"/>
  <c r="F71"/>
  <c r="E71"/>
  <c r="J70"/>
  <c r="G70"/>
  <c r="F70"/>
  <c r="J69"/>
  <c r="G69"/>
  <c r="F69"/>
  <c r="J68"/>
  <c r="H68"/>
  <c r="R68" s="1"/>
  <c r="G68"/>
  <c r="F68"/>
  <c r="F66"/>
  <c r="D66"/>
  <c r="I66"/>
  <c r="C66"/>
  <c r="B66"/>
  <c r="A66"/>
  <c r="Z65"/>
  <c r="Y65"/>
  <c r="X65"/>
  <c r="G64"/>
  <c r="E64"/>
  <c r="J63"/>
  <c r="F63"/>
  <c r="E63"/>
  <c r="J62"/>
  <c r="F62"/>
  <c r="E62"/>
  <c r="J61"/>
  <c r="G61"/>
  <c r="F61"/>
  <c r="J60"/>
  <c r="G60"/>
  <c r="F60"/>
  <c r="J59"/>
  <c r="G59"/>
  <c r="F59"/>
  <c r="F57"/>
  <c r="D57"/>
  <c r="I57"/>
  <c r="C57"/>
  <c r="B57"/>
  <c r="A57"/>
  <c r="Z56"/>
  <c r="Y56"/>
  <c r="X56"/>
  <c r="G55"/>
  <c r="E55"/>
  <c r="J54"/>
  <c r="F54"/>
  <c r="E54"/>
  <c r="J53"/>
  <c r="F53"/>
  <c r="E53"/>
  <c r="K52"/>
  <c r="J52"/>
  <c r="H52"/>
  <c r="G52"/>
  <c r="F52"/>
  <c r="J51"/>
  <c r="G51"/>
  <c r="F51"/>
  <c r="J50"/>
  <c r="G50"/>
  <c r="F50"/>
  <c r="J49"/>
  <c r="G49"/>
  <c r="F49"/>
  <c r="F48"/>
  <c r="E48"/>
  <c r="D48"/>
  <c r="I48"/>
  <c r="C48"/>
  <c r="B48"/>
  <c r="A48"/>
  <c r="Z47"/>
  <c r="Y47"/>
  <c r="X47"/>
  <c r="L47"/>
  <c r="Q47" s="1"/>
  <c r="G46"/>
  <c r="E46"/>
  <c r="J45"/>
  <c r="F45"/>
  <c r="E45"/>
  <c r="J44"/>
  <c r="F44"/>
  <c r="E44"/>
  <c r="J43"/>
  <c r="G43"/>
  <c r="F43"/>
  <c r="J42"/>
  <c r="G42"/>
  <c r="F42"/>
  <c r="J41"/>
  <c r="G41"/>
  <c r="F41"/>
  <c r="F40"/>
  <c r="E40"/>
  <c r="D40"/>
  <c r="I40"/>
  <c r="C40"/>
  <c r="B40"/>
  <c r="A40"/>
  <c r="Z39"/>
  <c r="Y39"/>
  <c r="X39"/>
  <c r="G38"/>
  <c r="E38"/>
  <c r="J37"/>
  <c r="F37"/>
  <c r="E37"/>
  <c r="J36"/>
  <c r="F36"/>
  <c r="E36"/>
  <c r="J35"/>
  <c r="G35"/>
  <c r="F35"/>
  <c r="J34"/>
  <c r="G34"/>
  <c r="F34"/>
  <c r="J33"/>
  <c r="G33"/>
  <c r="F33"/>
  <c r="F32"/>
  <c r="E32"/>
  <c r="D32"/>
  <c r="I32"/>
  <c r="C32"/>
  <c r="B32"/>
  <c r="A32"/>
  <c r="AE31"/>
  <c r="AE19"/>
  <c r="A19"/>
  <c r="AD16"/>
  <c r="B13"/>
  <c r="B5"/>
  <c r="A1" i="4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1" i="3"/>
  <c r="CX1"/>
  <c r="CY1"/>
  <c r="CZ1"/>
  <c r="DA1"/>
  <c r="A2"/>
  <c r="CX2"/>
  <c r="CY2"/>
  <c r="CZ2"/>
  <c r="DA2"/>
  <c r="A3"/>
  <c r="CX3"/>
  <c r="CY3"/>
  <c r="CZ3"/>
  <c r="DA3"/>
  <c r="A4"/>
  <c r="CX4"/>
  <c r="CY4"/>
  <c r="CZ4"/>
  <c r="DA4"/>
  <c r="A5"/>
  <c r="CX5"/>
  <c r="CY5"/>
  <c r="CZ5"/>
  <c r="DA5"/>
  <c r="A6"/>
  <c r="CX6"/>
  <c r="CY6"/>
  <c r="CZ6"/>
  <c r="DA6"/>
  <c r="A7"/>
  <c r="CX7"/>
  <c r="CY7"/>
  <c r="CZ7"/>
  <c r="DA7"/>
  <c r="A8"/>
  <c r="CX8"/>
  <c r="CY8"/>
  <c r="CZ8"/>
  <c r="DA8"/>
  <c r="A9"/>
  <c r="CX9"/>
  <c r="CY9"/>
  <c r="CZ9"/>
  <c r="DA9"/>
  <c r="A10"/>
  <c r="CX10"/>
  <c r="CY10"/>
  <c r="CZ10"/>
  <c r="DA10"/>
  <c r="A11"/>
  <c r="CX11"/>
  <c r="CY11"/>
  <c r="CZ11"/>
  <c r="DA11"/>
  <c r="A12"/>
  <c r="CX12"/>
  <c r="CY12"/>
  <c r="CZ12"/>
  <c r="DA12"/>
  <c r="A13"/>
  <c r="CX13"/>
  <c r="CY13"/>
  <c r="CZ13"/>
  <c r="DA13"/>
  <c r="A14"/>
  <c r="CX14"/>
  <c r="CY14"/>
  <c r="CZ14"/>
  <c r="DA14"/>
  <c r="A15"/>
  <c r="CX15"/>
  <c r="CY15"/>
  <c r="CZ15"/>
  <c r="DA15"/>
  <c r="A16"/>
  <c r="CX16"/>
  <c r="CY16"/>
  <c r="CZ16"/>
  <c r="DA16"/>
  <c r="A17"/>
  <c r="CX17"/>
  <c r="CY17"/>
  <c r="CZ17"/>
  <c r="DA17"/>
  <c r="A18"/>
  <c r="CX18"/>
  <c r="CY18"/>
  <c r="CZ18"/>
  <c r="DA18"/>
  <c r="A19"/>
  <c r="CX19"/>
  <c r="CY19"/>
  <c r="CZ19"/>
  <c r="DA19"/>
  <c r="A20"/>
  <c r="CY20"/>
  <c r="CZ20"/>
  <c r="DA20"/>
  <c r="A21"/>
  <c r="CY21"/>
  <c r="CZ21"/>
  <c r="DA21"/>
  <c r="A22"/>
  <c r="CY22"/>
  <c r="CZ22"/>
  <c r="DA22"/>
  <c r="A23"/>
  <c r="CY23"/>
  <c r="CZ23"/>
  <c r="DA23"/>
  <c r="A24"/>
  <c r="CY24"/>
  <c r="CZ24"/>
  <c r="DA24"/>
  <c r="A25"/>
  <c r="CY25"/>
  <c r="CZ25"/>
  <c r="DA25"/>
  <c r="A26"/>
  <c r="CY26"/>
  <c r="CZ26"/>
  <c r="DA26"/>
  <c r="A27"/>
  <c r="CY27"/>
  <c r="CZ27"/>
  <c r="DA27"/>
  <c r="A28"/>
  <c r="CY28"/>
  <c r="CZ28"/>
  <c r="DA28"/>
  <c r="A29"/>
  <c r="CY29"/>
  <c r="CZ29"/>
  <c r="DA29"/>
  <c r="A30"/>
  <c r="CY30"/>
  <c r="CZ30"/>
  <c r="DA30"/>
  <c r="A31"/>
  <c r="CY31"/>
  <c r="CZ31"/>
  <c r="DA31"/>
  <c r="A32"/>
  <c r="CY32"/>
  <c r="CZ32"/>
  <c r="DA32"/>
  <c r="A33"/>
  <c r="CY33"/>
  <c r="CZ33"/>
  <c r="DA33"/>
  <c r="A34"/>
  <c r="CY34"/>
  <c r="CZ34"/>
  <c r="DA34"/>
  <c r="A35"/>
  <c r="CY35"/>
  <c r="CZ35"/>
  <c r="DA35"/>
  <c r="A36"/>
  <c r="CY36"/>
  <c r="CZ36"/>
  <c r="DA36"/>
  <c r="A37"/>
  <c r="CY37"/>
  <c r="CZ37"/>
  <c r="DA37"/>
  <c r="A38"/>
  <c r="CY38"/>
  <c r="CZ38"/>
  <c r="DA38"/>
  <c r="A39"/>
  <c r="CY39"/>
  <c r="CZ39"/>
  <c r="DA39"/>
  <c r="A40"/>
  <c r="CY40"/>
  <c r="CZ40"/>
  <c r="DA40"/>
  <c r="A41"/>
  <c r="CY41"/>
  <c r="CZ41"/>
  <c r="DA41"/>
  <c r="A42"/>
  <c r="CY42"/>
  <c r="CZ42"/>
  <c r="DA42"/>
  <c r="A43"/>
  <c r="CY43"/>
  <c r="CZ43"/>
  <c r="DA43"/>
  <c r="A44"/>
  <c r="CY44"/>
  <c r="CZ44"/>
  <c r="DA44"/>
  <c r="A45"/>
  <c r="CY45"/>
  <c r="CZ45"/>
  <c r="DA45"/>
  <c r="A46"/>
  <c r="CY46"/>
  <c r="CZ46"/>
  <c r="DA46"/>
  <c r="A47"/>
  <c r="CY47"/>
  <c r="CZ47"/>
  <c r="DA47"/>
  <c r="A48"/>
  <c r="CY48"/>
  <c r="CZ48"/>
  <c r="DA48"/>
  <c r="A49"/>
  <c r="CY49"/>
  <c r="CZ49"/>
  <c r="DA49"/>
  <c r="A50"/>
  <c r="CY50"/>
  <c r="CZ50"/>
  <c r="DA50"/>
  <c r="A51"/>
  <c r="CY51"/>
  <c r="CZ51"/>
  <c r="DA51"/>
  <c r="A52"/>
  <c r="CY52"/>
  <c r="CZ52"/>
  <c r="DA52"/>
  <c r="A53"/>
  <c r="CY53"/>
  <c r="CZ53"/>
  <c r="DA53"/>
  <c r="A54"/>
  <c r="CY54"/>
  <c r="CZ54"/>
  <c r="DA54"/>
  <c r="A55"/>
  <c r="CY55"/>
  <c r="CZ55"/>
  <c r="DA55"/>
  <c r="A56"/>
  <c r="CY56"/>
  <c r="CZ56"/>
  <c r="DA56"/>
  <c r="A57"/>
  <c r="CY57"/>
  <c r="CZ57"/>
  <c r="DA57"/>
  <c r="A58"/>
  <c r="CY58"/>
  <c r="CZ58"/>
  <c r="DA58"/>
  <c r="A59"/>
  <c r="CY59"/>
  <c r="CZ59"/>
  <c r="DA59"/>
  <c r="A60"/>
  <c r="CY60"/>
  <c r="CZ60"/>
  <c r="DA60"/>
  <c r="A61"/>
  <c r="CY61"/>
  <c r="CZ61"/>
  <c r="DA61"/>
  <c r="A62"/>
  <c r="CY62"/>
  <c r="CZ62"/>
  <c r="DA62"/>
  <c r="A63"/>
  <c r="CY63"/>
  <c r="CZ63"/>
  <c r="DA63"/>
  <c r="A64"/>
  <c r="CY64"/>
  <c r="CZ64"/>
  <c r="DA64"/>
  <c r="A65"/>
  <c r="CY65"/>
  <c r="CZ65"/>
  <c r="DA65"/>
  <c r="A66"/>
  <c r="CY66"/>
  <c r="CZ66"/>
  <c r="DA66"/>
  <c r="A67"/>
  <c r="CY67"/>
  <c r="CZ67"/>
  <c r="DA67"/>
  <c r="A68"/>
  <c r="CY68"/>
  <c r="CZ68"/>
  <c r="DA68"/>
  <c r="A69"/>
  <c r="CY69"/>
  <c r="CZ69"/>
  <c r="DA69"/>
  <c r="A70"/>
  <c r="CY70"/>
  <c r="CZ70"/>
  <c r="DA70"/>
  <c r="A71"/>
  <c r="CY71"/>
  <c r="CZ71"/>
  <c r="DA71"/>
  <c r="A72"/>
  <c r="CY72"/>
  <c r="CZ72"/>
  <c r="DA72"/>
  <c r="A73"/>
  <c r="CY73"/>
  <c r="CZ73"/>
  <c r="DA73"/>
  <c r="A74"/>
  <c r="CY74"/>
  <c r="CZ74"/>
  <c r="DA74"/>
  <c r="A75"/>
  <c r="CY75"/>
  <c r="CZ75"/>
  <c r="DA75"/>
  <c r="A76"/>
  <c r="CY76"/>
  <c r="CZ76"/>
  <c r="DA76"/>
  <c r="A77"/>
  <c r="CY77"/>
  <c r="CZ77"/>
  <c r="DA77"/>
  <c r="A78"/>
  <c r="CY78"/>
  <c r="CZ78"/>
  <c r="DA78"/>
  <c r="A79"/>
  <c r="CY79"/>
  <c r="CZ79"/>
  <c r="DA79"/>
  <c r="A80"/>
  <c r="CY80"/>
  <c r="CZ80"/>
  <c r="DA80"/>
  <c r="A81"/>
  <c r="CY81"/>
  <c r="CZ81"/>
  <c r="DA81"/>
  <c r="A82"/>
  <c r="CY82"/>
  <c r="CZ82"/>
  <c r="DA82"/>
  <c r="A83"/>
  <c r="CY83"/>
  <c r="CZ83"/>
  <c r="DA83"/>
  <c r="A84"/>
  <c r="CY84"/>
  <c r="CZ84"/>
  <c r="DA84"/>
  <c r="A85"/>
  <c r="CY85"/>
  <c r="CZ85"/>
  <c r="DA85"/>
  <c r="A86"/>
  <c r="CY86"/>
  <c r="CZ86"/>
  <c r="DA86"/>
  <c r="A87"/>
  <c r="CY87"/>
  <c r="CZ87"/>
  <c r="DA87"/>
  <c r="A88"/>
  <c r="CY88"/>
  <c r="CZ88"/>
  <c r="DA88"/>
  <c r="A89"/>
  <c r="CY89"/>
  <c r="CZ89"/>
  <c r="DA89"/>
  <c r="A90"/>
  <c r="CY90"/>
  <c r="CZ90"/>
  <c r="DA90"/>
  <c r="A91"/>
  <c r="CY91"/>
  <c r="CZ91"/>
  <c r="DA91"/>
  <c r="A92"/>
  <c r="CY92"/>
  <c r="CZ92"/>
  <c r="DA92"/>
  <c r="A93"/>
  <c r="CY93"/>
  <c r="CZ93"/>
  <c r="DA93"/>
  <c r="A94"/>
  <c r="CY94"/>
  <c r="CZ94"/>
  <c r="DA94"/>
  <c r="A95"/>
  <c r="CY95"/>
  <c r="CZ95"/>
  <c r="DA95"/>
  <c r="A96"/>
  <c r="CY96"/>
  <c r="CZ96"/>
  <c r="DA96"/>
  <c r="A97"/>
  <c r="CY97"/>
  <c r="CZ97"/>
  <c r="DA97"/>
  <c r="A98"/>
  <c r="CY98"/>
  <c r="CZ98"/>
  <c r="DA98"/>
  <c r="A99"/>
  <c r="CY99"/>
  <c r="CZ99"/>
  <c r="DA99"/>
  <c r="A100"/>
  <c r="CY100"/>
  <c r="CZ100"/>
  <c r="DA100"/>
  <c r="A101"/>
  <c r="CY101"/>
  <c r="CZ101"/>
  <c r="DA101"/>
  <c r="A102"/>
  <c r="CY102"/>
  <c r="CZ102"/>
  <c r="DA102"/>
  <c r="A103"/>
  <c r="CY103"/>
  <c r="CZ103"/>
  <c r="DA103"/>
  <c r="A104"/>
  <c r="CY104"/>
  <c r="CZ104"/>
  <c r="DA104"/>
  <c r="A105"/>
  <c r="CY105"/>
  <c r="CZ105"/>
  <c r="DA105"/>
  <c r="A106"/>
  <c r="CY106"/>
  <c r="CZ106"/>
  <c r="DA106"/>
  <c r="A107"/>
  <c r="CY107"/>
  <c r="CZ107"/>
  <c r="DA107"/>
  <c r="A108"/>
  <c r="CY108"/>
  <c r="CZ108"/>
  <c r="DA108"/>
  <c r="A109"/>
  <c r="CY109"/>
  <c r="CZ109"/>
  <c r="DA109"/>
  <c r="A110"/>
  <c r="CY110"/>
  <c r="CZ110"/>
  <c r="DA110"/>
  <c r="A111"/>
  <c r="CY111"/>
  <c r="CZ111"/>
  <c r="DA111"/>
  <c r="A112"/>
  <c r="CY112"/>
  <c r="CZ112"/>
  <c r="DA112"/>
  <c r="A113"/>
  <c r="CY113"/>
  <c r="CZ113"/>
  <c r="DA113"/>
  <c r="A114"/>
  <c r="CY114"/>
  <c r="CZ114"/>
  <c r="DA114"/>
  <c r="A115"/>
  <c r="CY115"/>
  <c r="CZ115"/>
  <c r="DA115"/>
  <c r="A116"/>
  <c r="CY116"/>
  <c r="CZ116"/>
  <c r="DA116"/>
  <c r="A117"/>
  <c r="CY117"/>
  <c r="CZ117"/>
  <c r="DA117"/>
  <c r="A118"/>
  <c r="CY118"/>
  <c r="CZ118"/>
  <c r="DA118"/>
  <c r="A119"/>
  <c r="CY119"/>
  <c r="CZ119"/>
  <c r="DA119"/>
  <c r="A120"/>
  <c r="CY120"/>
  <c r="CZ120"/>
  <c r="DA120"/>
  <c r="A121"/>
  <c r="CY121"/>
  <c r="CZ121"/>
  <c r="DA121"/>
  <c r="A122"/>
  <c r="CY122"/>
  <c r="CZ122"/>
  <c r="DA122"/>
  <c r="A123"/>
  <c r="CY123"/>
  <c r="CZ123"/>
  <c r="DA123"/>
  <c r="A124"/>
  <c r="CY124"/>
  <c r="CZ124"/>
  <c r="DA124"/>
  <c r="A125"/>
  <c r="CY125"/>
  <c r="CZ125"/>
  <c r="DA125"/>
  <c r="A126"/>
  <c r="CY126"/>
  <c r="CZ126"/>
  <c r="DA126"/>
  <c r="A127"/>
  <c r="CY127"/>
  <c r="CZ127"/>
  <c r="DA127"/>
  <c r="A128"/>
  <c r="CY128"/>
  <c r="CZ128"/>
  <c r="DA128"/>
  <c r="A129"/>
  <c r="CY129"/>
  <c r="CZ129"/>
  <c r="DA129"/>
  <c r="A130"/>
  <c r="CY130"/>
  <c r="CZ130"/>
  <c r="DA130"/>
  <c r="A131"/>
  <c r="CY131"/>
  <c r="CZ131"/>
  <c r="DA131"/>
  <c r="A132"/>
  <c r="CY132"/>
  <c r="CZ132"/>
  <c r="DA132"/>
  <c r="A133"/>
  <c r="CY133"/>
  <c r="CZ133"/>
  <c r="DA133"/>
  <c r="A134"/>
  <c r="CY134"/>
  <c r="CZ134"/>
  <c r="DA134"/>
  <c r="A135"/>
  <c r="CY135"/>
  <c r="CZ135"/>
  <c r="DA135"/>
  <c r="A136"/>
  <c r="CY136"/>
  <c r="CZ136"/>
  <c r="DA136"/>
  <c r="A137"/>
  <c r="CY137"/>
  <c r="CZ137"/>
  <c r="DA137"/>
  <c r="A138"/>
  <c r="CY138"/>
  <c r="CZ138"/>
  <c r="DA138"/>
  <c r="A139"/>
  <c r="CY139"/>
  <c r="CZ139"/>
  <c r="DA139"/>
  <c r="A140"/>
  <c r="CY140"/>
  <c r="CZ140"/>
  <c r="DA140"/>
  <c r="A141"/>
  <c r="CY141"/>
  <c r="CZ141"/>
  <c r="DA141"/>
  <c r="A142"/>
  <c r="CY142"/>
  <c r="CZ142"/>
  <c r="DA142"/>
  <c r="A143"/>
  <c r="CY143"/>
  <c r="CZ143"/>
  <c r="DA143"/>
  <c r="A144"/>
  <c r="CY144"/>
  <c r="CZ144"/>
  <c r="DA144"/>
  <c r="A145"/>
  <c r="CY145"/>
  <c r="CZ145"/>
  <c r="DA145"/>
  <c r="A146"/>
  <c r="CY146"/>
  <c r="CZ146"/>
  <c r="DA146"/>
  <c r="A147"/>
  <c r="CY147"/>
  <c r="CZ147"/>
  <c r="DA147"/>
  <c r="A148"/>
  <c r="CY148"/>
  <c r="CZ148"/>
  <c r="DA148"/>
  <c r="A149"/>
  <c r="CY149"/>
  <c r="CZ149"/>
  <c r="DA149"/>
  <c r="A150"/>
  <c r="CY150"/>
  <c r="CZ150"/>
  <c r="DA150"/>
  <c r="A151"/>
  <c r="CY151"/>
  <c r="CZ151"/>
  <c r="DA151"/>
  <c r="A152"/>
  <c r="CY152"/>
  <c r="CZ152"/>
  <c r="DA152"/>
  <c r="A153"/>
  <c r="CY153"/>
  <c r="CZ153"/>
  <c r="DA153"/>
  <c r="A154"/>
  <c r="CY154"/>
  <c r="CZ154"/>
  <c r="DA154"/>
  <c r="A155"/>
  <c r="CY155"/>
  <c r="CZ155"/>
  <c r="DA155"/>
  <c r="A156"/>
  <c r="CY156"/>
  <c r="CZ156"/>
  <c r="DA156"/>
  <c r="A157"/>
  <c r="CY157"/>
  <c r="CZ157"/>
  <c r="DA157"/>
  <c r="A158"/>
  <c r="CY158"/>
  <c r="CZ158"/>
  <c r="DA158"/>
  <c r="A159"/>
  <c r="CY159"/>
  <c r="CZ159"/>
  <c r="DA159"/>
  <c r="A160"/>
  <c r="CY160"/>
  <c r="CZ160"/>
  <c r="DA160"/>
  <c r="A161"/>
  <c r="CY161"/>
  <c r="CZ161"/>
  <c r="DA161"/>
  <c r="A162"/>
  <c r="CY162"/>
  <c r="CZ162"/>
  <c r="DA162"/>
  <c r="A163"/>
  <c r="CY163"/>
  <c r="CZ163"/>
  <c r="DA163"/>
  <c r="A164"/>
  <c r="CY164"/>
  <c r="CZ164"/>
  <c r="DA164"/>
  <c r="A165"/>
  <c r="CY165"/>
  <c r="CZ165"/>
  <c r="DA165"/>
  <c r="A166"/>
  <c r="CY166"/>
  <c r="CZ166"/>
  <c r="DA166"/>
  <c r="A167"/>
  <c r="CY167"/>
  <c r="CZ167"/>
  <c r="DA167"/>
  <c r="A168"/>
  <c r="CY168"/>
  <c r="CZ168"/>
  <c r="DA168"/>
  <c r="A169"/>
  <c r="CY169"/>
  <c r="CZ169"/>
  <c r="DA169"/>
  <c r="A170"/>
  <c r="CY170"/>
  <c r="CZ170"/>
  <c r="DA170"/>
  <c r="A171"/>
  <c r="CY171"/>
  <c r="CZ171"/>
  <c r="DA171"/>
  <c r="A172"/>
  <c r="CY172"/>
  <c r="CZ172"/>
  <c r="DA172"/>
  <c r="A173"/>
  <c r="CY173"/>
  <c r="CZ173"/>
  <c r="DA173"/>
  <c r="A174"/>
  <c r="CY174"/>
  <c r="CZ174"/>
  <c r="DA174"/>
  <c r="A175"/>
  <c r="CY175"/>
  <c r="CZ175"/>
  <c r="DA175"/>
  <c r="A176"/>
  <c r="CY176"/>
  <c r="CZ176"/>
  <c r="DA176"/>
  <c r="A177"/>
  <c r="CY177"/>
  <c r="CZ177"/>
  <c r="DA177"/>
  <c r="A178"/>
  <c r="CY178"/>
  <c r="CZ178"/>
  <c r="DA178"/>
  <c r="A179"/>
  <c r="CY179"/>
  <c r="CZ179"/>
  <c r="DA179"/>
  <c r="A180"/>
  <c r="CY180"/>
  <c r="CZ180"/>
  <c r="DA180"/>
  <c r="A181"/>
  <c r="CY181"/>
  <c r="CZ181"/>
  <c r="DA181"/>
  <c r="A182"/>
  <c r="CY182"/>
  <c r="CZ182"/>
  <c r="DA182"/>
  <c r="A183"/>
  <c r="CY183"/>
  <c r="CZ183"/>
  <c r="DA183"/>
  <c r="A184"/>
  <c r="CY184"/>
  <c r="CZ184"/>
  <c r="DA184"/>
  <c r="A185"/>
  <c r="CY185"/>
  <c r="CZ185"/>
  <c r="DA185"/>
  <c r="A186"/>
  <c r="CY186"/>
  <c r="CZ186"/>
  <c r="DA186"/>
  <c r="A187"/>
  <c r="CY187"/>
  <c r="CZ187"/>
  <c r="DA187"/>
  <c r="A188"/>
  <c r="CY188"/>
  <c r="CZ188"/>
  <c r="DA188"/>
  <c r="A189"/>
  <c r="CY189"/>
  <c r="CZ189"/>
  <c r="DA189"/>
  <c r="A190"/>
  <c r="CY190"/>
  <c r="CZ190"/>
  <c r="DA190"/>
  <c r="A191"/>
  <c r="CY191"/>
  <c r="CZ191"/>
  <c r="DA191"/>
  <c r="A192"/>
  <c r="CY192"/>
  <c r="CZ192"/>
  <c r="DA192"/>
  <c r="A193"/>
  <c r="CY193"/>
  <c r="CZ193"/>
  <c r="DA193"/>
  <c r="A194"/>
  <c r="CY194"/>
  <c r="CZ194"/>
  <c r="DA194"/>
  <c r="A195"/>
  <c r="CY195"/>
  <c r="CZ195"/>
  <c r="DA195"/>
  <c r="A196"/>
  <c r="CY196"/>
  <c r="CZ196"/>
  <c r="DA196"/>
  <c r="A197"/>
  <c r="CY197"/>
  <c r="CZ197"/>
  <c r="DA197"/>
  <c r="A198"/>
  <c r="CY198"/>
  <c r="CZ198"/>
  <c r="DA198"/>
  <c r="A199"/>
  <c r="CY199"/>
  <c r="CZ199"/>
  <c r="DA199"/>
  <c r="A200"/>
  <c r="CY200"/>
  <c r="CZ200"/>
  <c r="DA200"/>
  <c r="A201"/>
  <c r="CY201"/>
  <c r="CZ201"/>
  <c r="DA201"/>
  <c r="A202"/>
  <c r="CY202"/>
  <c r="CZ202"/>
  <c r="DA202"/>
  <c r="A203"/>
  <c r="CY203"/>
  <c r="CZ203"/>
  <c r="DA203"/>
  <c r="A204"/>
  <c r="CY204"/>
  <c r="CZ204"/>
  <c r="DA204"/>
  <c r="A205"/>
  <c r="CY205"/>
  <c r="CZ205"/>
  <c r="DA205"/>
  <c r="A206"/>
  <c r="CX206"/>
  <c r="CY206"/>
  <c r="CZ206"/>
  <c r="DA206"/>
  <c r="A207"/>
  <c r="CX207"/>
  <c r="CY207"/>
  <c r="CZ207"/>
  <c r="DA207"/>
  <c r="A208"/>
  <c r="CX208"/>
  <c r="CY208"/>
  <c r="CZ208"/>
  <c r="DA208"/>
  <c r="A209"/>
  <c r="CX209"/>
  <c r="CY209"/>
  <c r="CZ209"/>
  <c r="DA209"/>
  <c r="A210"/>
  <c r="CX210"/>
  <c r="CY210"/>
  <c r="CZ210"/>
  <c r="DA210"/>
  <c r="A211"/>
  <c r="CX211"/>
  <c r="CY211"/>
  <c r="CZ211"/>
  <c r="DA211"/>
  <c r="A212"/>
  <c r="CX212"/>
  <c r="CY212"/>
  <c r="CZ212"/>
  <c r="DA212"/>
  <c r="A213"/>
  <c r="CX213"/>
  <c r="CY213"/>
  <c r="CZ213"/>
  <c r="DA213"/>
  <c r="A214"/>
  <c r="CY214"/>
  <c r="CZ214"/>
  <c r="DA214"/>
  <c r="A215"/>
  <c r="CY215"/>
  <c r="CZ215"/>
  <c r="DA215"/>
  <c r="A216"/>
  <c r="CY216"/>
  <c r="CZ216"/>
  <c r="DA216"/>
  <c r="A217"/>
  <c r="CY217"/>
  <c r="CZ217"/>
  <c r="DA217"/>
  <c r="A218"/>
  <c r="CY218"/>
  <c r="CZ218"/>
  <c r="DA218"/>
  <c r="A219"/>
  <c r="CY219"/>
  <c r="CZ219"/>
  <c r="DA219"/>
  <c r="A220"/>
  <c r="CY220"/>
  <c r="CZ220"/>
  <c r="DA220"/>
  <c r="A221"/>
  <c r="CY221"/>
  <c r="CZ221"/>
  <c r="DA221"/>
  <c r="A222"/>
  <c r="CY222"/>
  <c r="CZ222"/>
  <c r="DA222"/>
  <c r="A223"/>
  <c r="CY223"/>
  <c r="CZ223"/>
  <c r="DA223"/>
  <c r="A224"/>
  <c r="CY224"/>
  <c r="CZ224"/>
  <c r="DA224"/>
  <c r="A225"/>
  <c r="CY225"/>
  <c r="CZ225"/>
  <c r="DA225"/>
  <c r="A226"/>
  <c r="CY226"/>
  <c r="CZ226"/>
  <c r="DA226"/>
  <c r="A227"/>
  <c r="CY227"/>
  <c r="CZ227"/>
  <c r="DA227"/>
  <c r="A228"/>
  <c r="CY228"/>
  <c r="CZ228"/>
  <c r="DA228"/>
  <c r="A229"/>
  <c r="CY229"/>
  <c r="CZ229"/>
  <c r="DA229"/>
  <c r="A230"/>
  <c r="CY230"/>
  <c r="CZ230"/>
  <c r="DA230"/>
  <c r="A231"/>
  <c r="CY231"/>
  <c r="CZ231"/>
  <c r="DA231"/>
  <c r="A232"/>
  <c r="CY232"/>
  <c r="CZ232"/>
  <c r="DA232"/>
  <c r="A233"/>
  <c r="CY233"/>
  <c r="CZ233"/>
  <c r="DA233"/>
  <c r="A234"/>
  <c r="CY234"/>
  <c r="CZ234"/>
  <c r="DA234"/>
  <c r="A235"/>
  <c r="CY235"/>
  <c r="CZ235"/>
  <c r="DA235"/>
  <c r="A236"/>
  <c r="CY236"/>
  <c r="CZ236"/>
  <c r="DA236"/>
  <c r="A237"/>
  <c r="CY237"/>
  <c r="CZ237"/>
  <c r="DA237"/>
  <c r="A238"/>
  <c r="CY238"/>
  <c r="CZ238"/>
  <c r="DA238"/>
  <c r="A239"/>
  <c r="CY239"/>
  <c r="CZ239"/>
  <c r="DA239"/>
  <c r="A240"/>
  <c r="CY240"/>
  <c r="CZ240"/>
  <c r="DA240"/>
  <c r="A241"/>
  <c r="CY241"/>
  <c r="CZ241"/>
  <c r="DA241"/>
  <c r="A242"/>
  <c r="CY242"/>
  <c r="CZ242"/>
  <c r="DA242"/>
  <c r="A243"/>
  <c r="CY243"/>
  <c r="CZ243"/>
  <c r="DA243"/>
  <c r="A244"/>
  <c r="CY244"/>
  <c r="CZ244"/>
  <c r="DA244"/>
  <c r="A245"/>
  <c r="CY245"/>
  <c r="CZ245"/>
  <c r="DA245"/>
  <c r="A246"/>
  <c r="CY246"/>
  <c r="CZ246"/>
  <c r="DA246"/>
  <c r="A247"/>
  <c r="CY247"/>
  <c r="CZ247"/>
  <c r="DA247"/>
  <c r="A248"/>
  <c r="CY248"/>
  <c r="CZ248"/>
  <c r="DA248"/>
  <c r="A249"/>
  <c r="CY249"/>
  <c r="CZ249"/>
  <c r="DA249"/>
  <c r="A250"/>
  <c r="CY250"/>
  <c r="CZ250"/>
  <c r="DA250"/>
  <c r="A251"/>
  <c r="CY251"/>
  <c r="CZ251"/>
  <c r="DA251"/>
  <c r="A252"/>
  <c r="CY252"/>
  <c r="CZ252"/>
  <c r="DA252"/>
  <c r="A253"/>
  <c r="CY253"/>
  <c r="CZ253"/>
  <c r="DA253"/>
  <c r="A254"/>
  <c r="CY254"/>
  <c r="CZ254"/>
  <c r="DA254"/>
  <c r="A255"/>
  <c r="CY255"/>
  <c r="CZ255"/>
  <c r="DA255"/>
  <c r="A256"/>
  <c r="CY256"/>
  <c r="CZ256"/>
  <c r="DA256"/>
  <c r="A257"/>
  <c r="CY257"/>
  <c r="CZ257"/>
  <c r="DA257"/>
  <c r="A258"/>
  <c r="CY258"/>
  <c r="CZ258"/>
  <c r="DA258"/>
  <c r="A259"/>
  <c r="CY259"/>
  <c r="CZ259"/>
  <c r="DA259"/>
  <c r="A260"/>
  <c r="CY260"/>
  <c r="CZ260"/>
  <c r="DA260"/>
  <c r="A261"/>
  <c r="CY261"/>
  <c r="CZ261"/>
  <c r="DA261"/>
  <c r="A262"/>
  <c r="CY262"/>
  <c r="CZ262"/>
  <c r="DA262"/>
  <c r="A263"/>
  <c r="CY263"/>
  <c r="CZ263"/>
  <c r="DA263"/>
  <c r="A264"/>
  <c r="CY264"/>
  <c r="CZ264"/>
  <c r="DA264"/>
  <c r="A265"/>
  <c r="CY265"/>
  <c r="CZ265"/>
  <c r="DA265"/>
  <c r="A266"/>
  <c r="CY266"/>
  <c r="CZ266"/>
  <c r="DA266"/>
  <c r="A267"/>
  <c r="CY267"/>
  <c r="CZ267"/>
  <c r="DA267"/>
  <c r="A268"/>
  <c r="CY268"/>
  <c r="CZ268"/>
  <c r="DA268"/>
  <c r="A269"/>
  <c r="CY269"/>
  <c r="CZ269"/>
  <c r="DA269"/>
  <c r="A270"/>
  <c r="CY270"/>
  <c r="CZ270"/>
  <c r="DA270"/>
  <c r="A271"/>
  <c r="CY271"/>
  <c r="CZ271"/>
  <c r="DA271"/>
  <c r="A272"/>
  <c r="CY272"/>
  <c r="CZ272"/>
  <c r="DA272"/>
  <c r="A273"/>
  <c r="CY273"/>
  <c r="CZ273"/>
  <c r="DA273"/>
  <c r="A274"/>
  <c r="CY274"/>
  <c r="CZ274"/>
  <c r="DA274"/>
  <c r="A275"/>
  <c r="CY275"/>
  <c r="CZ275"/>
  <c r="DA275"/>
  <c r="A276"/>
  <c r="CY276"/>
  <c r="CZ276"/>
  <c r="DA276"/>
  <c r="A277"/>
  <c r="CY277"/>
  <c r="CZ277"/>
  <c r="DA277"/>
  <c r="A278"/>
  <c r="CY278"/>
  <c r="CZ278"/>
  <c r="DA278"/>
  <c r="A279"/>
  <c r="CY279"/>
  <c r="CZ279"/>
  <c r="DA279"/>
  <c r="A280"/>
  <c r="CY280"/>
  <c r="CZ280"/>
  <c r="DA280"/>
  <c r="A281"/>
  <c r="CY281"/>
  <c r="CZ281"/>
  <c r="DA281"/>
  <c r="A282"/>
  <c r="CY282"/>
  <c r="CZ282"/>
  <c r="DA282"/>
  <c r="A283"/>
  <c r="CY283"/>
  <c r="CZ283"/>
  <c r="DA283"/>
  <c r="A284"/>
  <c r="CY284"/>
  <c r="CZ284"/>
  <c r="DA284"/>
  <c r="A285"/>
  <c r="CY285"/>
  <c r="CZ285"/>
  <c r="DA285"/>
  <c r="A286"/>
  <c r="CY286"/>
  <c r="CZ286"/>
  <c r="DA286"/>
  <c r="A287"/>
  <c r="CY287"/>
  <c r="CZ287"/>
  <c r="DA287"/>
  <c r="A288"/>
  <c r="CY288"/>
  <c r="CZ288"/>
  <c r="DA288"/>
  <c r="A289"/>
  <c r="CY289"/>
  <c r="CZ289"/>
  <c r="DA289"/>
  <c r="A290"/>
  <c r="CY290"/>
  <c r="CZ290"/>
  <c r="DA290"/>
  <c r="A291"/>
  <c r="CY291"/>
  <c r="CZ291"/>
  <c r="DA291"/>
  <c r="A292"/>
  <c r="CY292"/>
  <c r="CZ292"/>
  <c r="DA292"/>
  <c r="A293"/>
  <c r="CY293"/>
  <c r="CZ293"/>
  <c r="DA293"/>
  <c r="A294"/>
  <c r="CY294"/>
  <c r="CZ294"/>
  <c r="DA294"/>
  <c r="A295"/>
  <c r="CY295"/>
  <c r="CZ295"/>
  <c r="DA295"/>
  <c r="A296"/>
  <c r="CY296"/>
  <c r="CZ296"/>
  <c r="DA296"/>
  <c r="A297"/>
  <c r="CY297"/>
  <c r="CZ297"/>
  <c r="DA297"/>
  <c r="A298"/>
  <c r="CY298"/>
  <c r="CZ298"/>
  <c r="DA298"/>
  <c r="A299"/>
  <c r="CY299"/>
  <c r="CZ299"/>
  <c r="DA299"/>
  <c r="A300"/>
  <c r="CY300"/>
  <c r="CZ300"/>
  <c r="DA300"/>
  <c r="A301"/>
  <c r="CY301"/>
  <c r="CZ301"/>
  <c r="DA301"/>
  <c r="A302"/>
  <c r="CY302"/>
  <c r="CZ302"/>
  <c r="DA302"/>
  <c r="A303"/>
  <c r="CY303"/>
  <c r="CZ303"/>
  <c r="DA303"/>
  <c r="A304"/>
  <c r="CY304"/>
  <c r="CZ304"/>
  <c r="DA304"/>
  <c r="A305"/>
  <c r="CY305"/>
  <c r="CZ305"/>
  <c r="DA305"/>
  <c r="A306"/>
  <c r="CY306"/>
  <c r="CZ306"/>
  <c r="DA306"/>
  <c r="A307"/>
  <c r="CY307"/>
  <c r="CZ307"/>
  <c r="DA307"/>
  <c r="A308"/>
  <c r="CY308"/>
  <c r="CZ308"/>
  <c r="DA308"/>
  <c r="A309"/>
  <c r="CY309"/>
  <c r="CZ309"/>
  <c r="DA309"/>
  <c r="A310"/>
  <c r="CY310"/>
  <c r="CZ310"/>
  <c r="DA310"/>
  <c r="A311"/>
  <c r="CY311"/>
  <c r="CZ311"/>
  <c r="DA311"/>
  <c r="A312"/>
  <c r="CY312"/>
  <c r="CZ312"/>
  <c r="DA312"/>
  <c r="A313"/>
  <c r="CY313"/>
  <c r="CZ313"/>
  <c r="DA313"/>
  <c r="A314"/>
  <c r="CY314"/>
  <c r="CZ314"/>
  <c r="DA314"/>
  <c r="A315"/>
  <c r="CY315"/>
  <c r="CZ315"/>
  <c r="DA315"/>
  <c r="A316"/>
  <c r="CY316"/>
  <c r="CZ316"/>
  <c r="DA316"/>
  <c r="A317"/>
  <c r="CY317"/>
  <c r="CZ317"/>
  <c r="DA317"/>
  <c r="A318"/>
  <c r="CY318"/>
  <c r="CZ318"/>
  <c r="DA318"/>
  <c r="A319"/>
  <c r="CY319"/>
  <c r="CZ319"/>
  <c r="DA319"/>
  <c r="A320"/>
  <c r="CY320"/>
  <c r="CZ320"/>
  <c r="DA320"/>
  <c r="A321"/>
  <c r="CY321"/>
  <c r="CZ321"/>
  <c r="DA321"/>
  <c r="A322"/>
  <c r="CY322"/>
  <c r="CZ322"/>
  <c r="DA322"/>
  <c r="A323"/>
  <c r="CY323"/>
  <c r="CZ323"/>
  <c r="DA323"/>
  <c r="A324"/>
  <c r="CY324"/>
  <c r="CZ324"/>
  <c r="DA324"/>
  <c r="A325"/>
  <c r="CY325"/>
  <c r="CZ325"/>
  <c r="DA325"/>
  <c r="A326"/>
  <c r="CY326"/>
  <c r="CZ326"/>
  <c r="DA326"/>
  <c r="A327"/>
  <c r="CY327"/>
  <c r="CZ327"/>
  <c r="DA327"/>
  <c r="A328"/>
  <c r="CY328"/>
  <c r="CZ328"/>
  <c r="DA328"/>
  <c r="A329"/>
  <c r="CY329"/>
  <c r="CZ329"/>
  <c r="DA329"/>
  <c r="A330"/>
  <c r="CY330"/>
  <c r="CZ330"/>
  <c r="DA330"/>
  <c r="A331"/>
  <c r="CY331"/>
  <c r="CZ331"/>
  <c r="DA331"/>
  <c r="A332"/>
  <c r="CY332"/>
  <c r="CZ332"/>
  <c r="DA332"/>
  <c r="A333"/>
  <c r="CY333"/>
  <c r="CZ333"/>
  <c r="DA333"/>
  <c r="A334"/>
  <c r="CY334"/>
  <c r="CZ334"/>
  <c r="DA334"/>
  <c r="A335"/>
  <c r="CY335"/>
  <c r="CZ335"/>
  <c r="DA335"/>
  <c r="A336"/>
  <c r="CY336"/>
  <c r="CZ336"/>
  <c r="DA336"/>
  <c r="A337"/>
  <c r="CY337"/>
  <c r="CZ337"/>
  <c r="DA337"/>
  <c r="A338"/>
  <c r="CY338"/>
  <c r="CZ338"/>
  <c r="DA338"/>
  <c r="A339"/>
  <c r="CY339"/>
  <c r="CZ339"/>
  <c r="DA339"/>
  <c r="A340"/>
  <c r="CY340"/>
  <c r="CZ340"/>
  <c r="DA340"/>
  <c r="A341"/>
  <c r="CY341"/>
  <c r="CZ341"/>
  <c r="DA341"/>
  <c r="A342"/>
  <c r="CY342"/>
  <c r="CZ342"/>
  <c r="DA342"/>
  <c r="A343"/>
  <c r="CY343"/>
  <c r="CZ343"/>
  <c r="DA343"/>
  <c r="A344"/>
  <c r="CY344"/>
  <c r="CZ344"/>
  <c r="DA344"/>
  <c r="A345"/>
  <c r="CY345"/>
  <c r="CZ345"/>
  <c r="DA345"/>
  <c r="A346"/>
  <c r="CY346"/>
  <c r="CZ346"/>
  <c r="DA346"/>
  <c r="A347"/>
  <c r="CY347"/>
  <c r="CZ347"/>
  <c r="DA347"/>
  <c r="A348"/>
  <c r="CY348"/>
  <c r="CZ348"/>
  <c r="DA348"/>
  <c r="A349"/>
  <c r="CY349"/>
  <c r="CZ349"/>
  <c r="DA349"/>
  <c r="A350"/>
  <c r="CY350"/>
  <c r="CZ350"/>
  <c r="DA350"/>
  <c r="A351"/>
  <c r="CY351"/>
  <c r="CZ351"/>
  <c r="DA351"/>
  <c r="A352"/>
  <c r="CY352"/>
  <c r="CZ352"/>
  <c r="DA352"/>
  <c r="A353"/>
  <c r="CY353"/>
  <c r="CZ353"/>
  <c r="DA353"/>
  <c r="A354"/>
  <c r="CY354"/>
  <c r="CZ354"/>
  <c r="DA354"/>
  <c r="A355"/>
  <c r="CY355"/>
  <c r="CZ355"/>
  <c r="DA355"/>
  <c r="A356"/>
  <c r="CY356"/>
  <c r="CZ356"/>
  <c r="DA356"/>
  <c r="A357"/>
  <c r="CY357"/>
  <c r="CZ357"/>
  <c r="DA357"/>
  <c r="A358"/>
  <c r="CY358"/>
  <c r="CZ358"/>
  <c r="DA358"/>
  <c r="A359"/>
  <c r="CY359"/>
  <c r="CZ359"/>
  <c r="DA359"/>
  <c r="A360"/>
  <c r="CY360"/>
  <c r="CZ360"/>
  <c r="DA360"/>
  <c r="A361"/>
  <c r="CY361"/>
  <c r="CZ361"/>
  <c r="DA361"/>
  <c r="A362"/>
  <c r="CY362"/>
  <c r="CZ362"/>
  <c r="DA362"/>
  <c r="A363"/>
  <c r="CY363"/>
  <c r="CZ363"/>
  <c r="DA363"/>
  <c r="A364"/>
  <c r="CY364"/>
  <c r="CZ364"/>
  <c r="DA364"/>
  <c r="A365"/>
  <c r="CY365"/>
  <c r="CZ365"/>
  <c r="DA365"/>
  <c r="A366"/>
  <c r="CY366"/>
  <c r="CZ366"/>
  <c r="DA366"/>
  <c r="A367"/>
  <c r="CY367"/>
  <c r="CZ367"/>
  <c r="DA367"/>
  <c r="A368"/>
  <c r="CY368"/>
  <c r="CZ368"/>
  <c r="DA368"/>
  <c r="A369"/>
  <c r="CY369"/>
  <c r="CZ369"/>
  <c r="DA369"/>
  <c r="A370"/>
  <c r="CY370"/>
  <c r="CZ370"/>
  <c r="DA370"/>
  <c r="A371"/>
  <c r="CY371"/>
  <c r="CZ371"/>
  <c r="DA371"/>
  <c r="A372"/>
  <c r="CY372"/>
  <c r="CZ372"/>
  <c r="DA372"/>
  <c r="A373"/>
  <c r="CY373"/>
  <c r="CZ373"/>
  <c r="DA373"/>
  <c r="A374"/>
  <c r="CY374"/>
  <c r="CZ374"/>
  <c r="DA374"/>
  <c r="A375"/>
  <c r="CY375"/>
  <c r="CZ375"/>
  <c r="DA375"/>
  <c r="A376"/>
  <c r="CY376"/>
  <c r="CZ376"/>
  <c r="DA376"/>
  <c r="A377"/>
  <c r="CY377"/>
  <c r="CZ377"/>
  <c r="DA377"/>
  <c r="A378"/>
  <c r="CY378"/>
  <c r="CZ378"/>
  <c r="DA378"/>
  <c r="A379"/>
  <c r="CY379"/>
  <c r="CZ379"/>
  <c r="DA379"/>
  <c r="A380"/>
  <c r="CY380"/>
  <c r="CZ380"/>
  <c r="DA380"/>
  <c r="A381"/>
  <c r="CY381"/>
  <c r="CZ381"/>
  <c r="DA381"/>
  <c r="A382"/>
  <c r="CY382"/>
  <c r="CZ382"/>
  <c r="DA382"/>
  <c r="A383"/>
  <c r="CY383"/>
  <c r="CZ383"/>
  <c r="DA383"/>
  <c r="A384"/>
  <c r="CY384"/>
  <c r="CZ384"/>
  <c r="DA384"/>
  <c r="A385"/>
  <c r="CY385"/>
  <c r="CZ385"/>
  <c r="DA385"/>
  <c r="A386"/>
  <c r="CY386"/>
  <c r="CZ386"/>
  <c r="DA386"/>
  <c r="A387"/>
  <c r="CY387"/>
  <c r="CZ387"/>
  <c r="DA387"/>
  <c r="A388"/>
  <c r="CY388"/>
  <c r="CZ388"/>
  <c r="DA388"/>
  <c r="A389"/>
  <c r="CY389"/>
  <c r="CZ389"/>
  <c r="DA389"/>
  <c r="A390"/>
  <c r="CX390"/>
  <c r="CY390"/>
  <c r="CZ390"/>
  <c r="DA390"/>
  <c r="A391"/>
  <c r="CX391"/>
  <c r="CY391"/>
  <c r="CZ391"/>
  <c r="DA391"/>
  <c r="A392"/>
  <c r="CX392"/>
  <c r="CY392"/>
  <c r="CZ392"/>
  <c r="DA392"/>
  <c r="A393"/>
  <c r="CX393"/>
  <c r="CY393"/>
  <c r="CZ393"/>
  <c r="DA393"/>
  <c r="A394"/>
  <c r="CX394"/>
  <c r="CY394"/>
  <c r="CZ394"/>
  <c r="DA394"/>
  <c r="A395"/>
  <c r="CX395"/>
  <c r="CY395"/>
  <c r="CZ395"/>
  <c r="DA395"/>
  <c r="A396"/>
  <c r="CX396"/>
  <c r="CY396"/>
  <c r="CZ396"/>
  <c r="DA396"/>
  <c r="A397"/>
  <c r="CX397"/>
  <c r="CY397"/>
  <c r="CZ397"/>
  <c r="DA397"/>
  <c r="A398"/>
  <c r="CY398"/>
  <c r="CZ398"/>
  <c r="DA398"/>
  <c r="A399"/>
  <c r="CY399"/>
  <c r="CZ399"/>
  <c r="DA399"/>
  <c r="A400"/>
  <c r="CY400"/>
  <c r="CZ400"/>
  <c r="DA400"/>
  <c r="A401"/>
  <c r="CY401"/>
  <c r="CZ401"/>
  <c r="DA401"/>
  <c r="A402"/>
  <c r="CY402"/>
  <c r="CZ402"/>
  <c r="DA402"/>
  <c r="A403"/>
  <c r="CY403"/>
  <c r="CZ403"/>
  <c r="DA403"/>
  <c r="A404"/>
  <c r="CY404"/>
  <c r="CZ404"/>
  <c r="DA404"/>
  <c r="A405"/>
  <c r="CY405"/>
  <c r="CZ405"/>
  <c r="DA405"/>
  <c r="A406"/>
  <c r="CY406"/>
  <c r="CZ406"/>
  <c r="DA406"/>
  <c r="A407"/>
  <c r="CY407"/>
  <c r="CZ407"/>
  <c r="DA407"/>
  <c r="A408"/>
  <c r="CY408"/>
  <c r="CZ408"/>
  <c r="DA408"/>
  <c r="A409"/>
  <c r="CY409"/>
  <c r="CZ409"/>
  <c r="DA409"/>
  <c r="A410"/>
  <c r="CY410"/>
  <c r="CZ410"/>
  <c r="DA410"/>
  <c r="A411"/>
  <c r="CY411"/>
  <c r="CZ411"/>
  <c r="DA411"/>
  <c r="A412"/>
  <c r="CY412"/>
  <c r="CZ412"/>
  <c r="DA412"/>
  <c r="A413"/>
  <c r="CY413"/>
  <c r="CZ413"/>
  <c r="DA413"/>
  <c r="A414"/>
  <c r="CY414"/>
  <c r="CZ414"/>
  <c r="DA414"/>
  <c r="A415"/>
  <c r="CY415"/>
  <c r="CZ415"/>
  <c r="DA415"/>
  <c r="A416"/>
  <c r="CY416"/>
  <c r="CZ416"/>
  <c r="DA416"/>
  <c r="A417"/>
  <c r="CY417"/>
  <c r="CZ417"/>
  <c r="DA417"/>
  <c r="A418"/>
  <c r="CY418"/>
  <c r="CZ418"/>
  <c r="DA418"/>
  <c r="A419"/>
  <c r="CY419"/>
  <c r="CZ419"/>
  <c r="DA419"/>
  <c r="A420"/>
  <c r="CY420"/>
  <c r="CZ420"/>
  <c r="DA420"/>
  <c r="A421"/>
  <c r="CY421"/>
  <c r="CZ421"/>
  <c r="DA421"/>
  <c r="A422"/>
  <c r="CY422"/>
  <c r="CZ422"/>
  <c r="DA422"/>
  <c r="A423"/>
  <c r="CY423"/>
  <c r="CZ423"/>
  <c r="DA423"/>
  <c r="A424"/>
  <c r="CY424"/>
  <c r="CZ424"/>
  <c r="DA424"/>
  <c r="A425"/>
  <c r="CY425"/>
  <c r="CZ425"/>
  <c r="DA425"/>
  <c r="A426"/>
  <c r="CY426"/>
  <c r="CZ426"/>
  <c r="DA426"/>
  <c r="A427"/>
  <c r="CY427"/>
  <c r="CZ427"/>
  <c r="DA427"/>
  <c r="A428"/>
  <c r="CY428"/>
  <c r="CZ428"/>
  <c r="DA428"/>
  <c r="A429"/>
  <c r="CY429"/>
  <c r="CZ429"/>
  <c r="DA429"/>
  <c r="A430"/>
  <c r="CY430"/>
  <c r="CZ430"/>
  <c r="DA430"/>
  <c r="A431"/>
  <c r="CY431"/>
  <c r="CZ431"/>
  <c r="DA431"/>
  <c r="A432"/>
  <c r="CY432"/>
  <c r="CZ432"/>
  <c r="DA432"/>
  <c r="A433"/>
  <c r="CY433"/>
  <c r="CZ433"/>
  <c r="DA433"/>
  <c r="A434"/>
  <c r="CY434"/>
  <c r="CZ434"/>
  <c r="DA434"/>
  <c r="A435"/>
  <c r="CY435"/>
  <c r="CZ435"/>
  <c r="DA435"/>
  <c r="A436"/>
  <c r="CY436"/>
  <c r="CZ436"/>
  <c r="DA436"/>
  <c r="A437"/>
  <c r="CY437"/>
  <c r="CZ437"/>
  <c r="DA437"/>
  <c r="A438"/>
  <c r="CY438"/>
  <c r="CZ438"/>
  <c r="DA438"/>
  <c r="A439"/>
  <c r="CY439"/>
  <c r="CZ439"/>
  <c r="DA439"/>
  <c r="A440"/>
  <c r="CX440"/>
  <c r="CY440"/>
  <c r="CZ440"/>
  <c r="DA440"/>
  <c r="A441"/>
  <c r="CX441"/>
  <c r="CY441"/>
  <c r="CZ441"/>
  <c r="DA441"/>
  <c r="A442"/>
  <c r="CX442"/>
  <c r="CY442"/>
  <c r="CZ442"/>
  <c r="DA442"/>
  <c r="A443"/>
  <c r="CX443"/>
  <c r="CY443"/>
  <c r="CZ443"/>
  <c r="DA443"/>
  <c r="A444"/>
  <c r="CX444"/>
  <c r="CY444"/>
  <c r="CZ444"/>
  <c r="DA444"/>
  <c r="A445"/>
  <c r="CX445"/>
  <c r="CY445"/>
  <c r="CZ445"/>
  <c r="DA445"/>
  <c r="A446"/>
  <c r="CX446"/>
  <c r="CY446"/>
  <c r="CZ446"/>
  <c r="DA446"/>
  <c r="A447"/>
  <c r="CX447"/>
  <c r="CY447"/>
  <c r="CZ447"/>
  <c r="DA447"/>
  <c r="A448"/>
  <c r="CX448"/>
  <c r="CY448"/>
  <c r="CZ448"/>
  <c r="DA448"/>
  <c r="A449"/>
  <c r="CX449"/>
  <c r="CY449"/>
  <c r="CZ449"/>
  <c r="DA449"/>
  <c r="A450"/>
  <c r="CX450"/>
  <c r="CY450"/>
  <c r="CZ450"/>
  <c r="DA450"/>
  <c r="A451"/>
  <c r="CX451"/>
  <c r="CY451"/>
  <c r="CZ451"/>
  <c r="DA451"/>
  <c r="A452"/>
  <c r="CX452"/>
  <c r="CY452"/>
  <c r="CZ452"/>
  <c r="DA452"/>
  <c r="A453"/>
  <c r="CX453"/>
  <c r="CY453"/>
  <c r="CZ453"/>
  <c r="DA453"/>
  <c r="A454"/>
  <c r="CX454"/>
  <c r="CY454"/>
  <c r="CZ454"/>
  <c r="DA454"/>
  <c r="A455"/>
  <c r="CY455"/>
  <c r="CZ455"/>
  <c r="DA455"/>
  <c r="A456"/>
  <c r="CY456"/>
  <c r="CZ456"/>
  <c r="DA456"/>
  <c r="A457"/>
  <c r="CY457"/>
  <c r="CZ457"/>
  <c r="DA457"/>
  <c r="A458"/>
  <c r="CY458"/>
  <c r="CZ458"/>
  <c r="DA458"/>
  <c r="A459"/>
  <c r="CY459"/>
  <c r="CZ459"/>
  <c r="DA459"/>
  <c r="A460"/>
  <c r="CY460"/>
  <c r="CZ460"/>
  <c r="DA460"/>
  <c r="A461"/>
  <c r="CY461"/>
  <c r="CZ461"/>
  <c r="DA461"/>
  <c r="A462"/>
  <c r="CY462"/>
  <c r="CZ462"/>
  <c r="DA462"/>
  <c r="A463"/>
  <c r="CY463"/>
  <c r="CZ463"/>
  <c r="DA463"/>
  <c r="A464"/>
  <c r="CY464"/>
  <c r="CZ464"/>
  <c r="DA464"/>
  <c r="A465"/>
  <c r="CY465"/>
  <c r="CZ465"/>
  <c r="DA465"/>
  <c r="A466"/>
  <c r="CY466"/>
  <c r="CZ466"/>
  <c r="DA466"/>
  <c r="A467"/>
  <c r="CY467"/>
  <c r="CZ467"/>
  <c r="DA467"/>
  <c r="A468"/>
  <c r="CY468"/>
  <c r="CZ468"/>
  <c r="DA468"/>
  <c r="A469"/>
  <c r="CY469"/>
  <c r="CZ469"/>
  <c r="DA469"/>
  <c r="A470"/>
  <c r="CY470"/>
  <c r="CZ470"/>
  <c r="DA470"/>
  <c r="A471"/>
  <c r="CY471"/>
  <c r="CZ471"/>
  <c r="DA471"/>
  <c r="A472"/>
  <c r="CY472"/>
  <c r="CZ472"/>
  <c r="DA472"/>
  <c r="A473"/>
  <c r="CY473"/>
  <c r="CZ473"/>
  <c r="DA473"/>
  <c r="A474"/>
  <c r="CY474"/>
  <c r="CZ474"/>
  <c r="DA474"/>
  <c r="A475"/>
  <c r="CY475"/>
  <c r="CZ475"/>
  <c r="DA475"/>
  <c r="A476"/>
  <c r="CY476"/>
  <c r="CZ476"/>
  <c r="DA476"/>
  <c r="A477"/>
  <c r="CY477"/>
  <c r="CZ477"/>
  <c r="DA477"/>
  <c r="A478"/>
  <c r="CY478"/>
  <c r="CZ478"/>
  <c r="DA478"/>
  <c r="A479"/>
  <c r="CY479"/>
  <c r="CZ479"/>
  <c r="DA479"/>
  <c r="A480"/>
  <c r="CY480"/>
  <c r="CZ480"/>
  <c r="DA480"/>
  <c r="A481"/>
  <c r="CY481"/>
  <c r="CZ481"/>
  <c r="DA481"/>
  <c r="D12" i="1"/>
  <c r="E18"/>
  <c r="Z18"/>
  <c r="AA18"/>
  <c r="AB18"/>
  <c r="AC18"/>
  <c r="AD18"/>
  <c r="AE18"/>
  <c r="AF18"/>
  <c r="AG18"/>
  <c r="AH18"/>
  <c r="AI18"/>
  <c r="AJ18"/>
  <c r="AK18"/>
  <c r="AL18"/>
  <c r="AM18"/>
  <c r="AN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GB18"/>
  <c r="GC18"/>
  <c r="GD18"/>
  <c r="GE18"/>
  <c r="GF18"/>
  <c r="GG18"/>
  <c r="GH18"/>
  <c r="GI18"/>
  <c r="GJ18"/>
  <c r="GK18"/>
  <c r="GL18"/>
  <c r="GM18"/>
  <c r="GN18"/>
  <c r="GO18"/>
  <c r="GP18"/>
  <c r="GQ18"/>
  <c r="GR18"/>
  <c r="GS18"/>
  <c r="GT18"/>
  <c r="GU18"/>
  <c r="GV18"/>
  <c r="GW18"/>
  <c r="GX18"/>
  <c r="D20"/>
  <c r="E22"/>
  <c r="Z22"/>
  <c r="AA22"/>
  <c r="AB22"/>
  <c r="AC22"/>
  <c r="AD22"/>
  <c r="AE22"/>
  <c r="AF22"/>
  <c r="AG22"/>
  <c r="AH22"/>
  <c r="AI22"/>
  <c r="AJ22"/>
  <c r="AK22"/>
  <c r="AL22"/>
  <c r="AM22"/>
  <c r="AN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FV22"/>
  <c r="FW22"/>
  <c r="FX22"/>
  <c r="FY22"/>
  <c r="FZ22"/>
  <c r="GA22"/>
  <c r="GB22"/>
  <c r="GC22"/>
  <c r="GD22"/>
  <c r="GE22"/>
  <c r="GF22"/>
  <c r="GG22"/>
  <c r="GH22"/>
  <c r="GI22"/>
  <c r="GJ22"/>
  <c r="GK22"/>
  <c r="GL22"/>
  <c r="GM22"/>
  <c r="GN22"/>
  <c r="GO22"/>
  <c r="GP22"/>
  <c r="GQ22"/>
  <c r="GR22"/>
  <c r="GS22"/>
  <c r="GT22"/>
  <c r="GU22"/>
  <c r="GV22"/>
  <c r="GW22"/>
  <c r="GX22"/>
  <c r="D24"/>
  <c r="E26"/>
  <c r="Z26"/>
  <c r="AA26"/>
  <c r="AM26"/>
  <c r="AN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CM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F26"/>
  <c r="EG26"/>
  <c r="EH26"/>
  <c r="EI26"/>
  <c r="EJ26"/>
  <c r="EK26"/>
  <c r="EL26"/>
  <c r="EM26"/>
  <c r="EN26"/>
  <c r="EO26"/>
  <c r="EP26"/>
  <c r="EQ26"/>
  <c r="ER26"/>
  <c r="ES26"/>
  <c r="ET26"/>
  <c r="EU26"/>
  <c r="EV26"/>
  <c r="EW26"/>
  <c r="EX26"/>
  <c r="EY26"/>
  <c r="EZ26"/>
  <c r="FA26"/>
  <c r="FB26"/>
  <c r="FC26"/>
  <c r="FD26"/>
  <c r="FE26"/>
  <c r="FF26"/>
  <c r="FG26"/>
  <c r="FH26"/>
  <c r="FI26"/>
  <c r="FJ26"/>
  <c r="FK26"/>
  <c r="FL26"/>
  <c r="FM26"/>
  <c r="FN26"/>
  <c r="FO26"/>
  <c r="FP26"/>
  <c r="FQ26"/>
  <c r="FR26"/>
  <c r="FS26"/>
  <c r="FT26"/>
  <c r="FU26"/>
  <c r="FV26"/>
  <c r="FW26"/>
  <c r="FX26"/>
  <c r="FY26"/>
  <c r="FZ26"/>
  <c r="GA26"/>
  <c r="GB26"/>
  <c r="GC26"/>
  <c r="GD26"/>
  <c r="GE26"/>
  <c r="GF26"/>
  <c r="GG26"/>
  <c r="GH26"/>
  <c r="GI26"/>
  <c r="GJ26"/>
  <c r="GK26"/>
  <c r="GL26"/>
  <c r="GM26"/>
  <c r="GN26"/>
  <c r="GO26"/>
  <c r="GP26"/>
  <c r="GQ26"/>
  <c r="GR26"/>
  <c r="GS26"/>
  <c r="GT26"/>
  <c r="GU26"/>
  <c r="GV26"/>
  <c r="GW26"/>
  <c r="GX26"/>
  <c r="C28"/>
  <c r="D28"/>
  <c r="AC28"/>
  <c r="CQ28" s="1"/>
  <c r="P28" s="1"/>
  <c r="AE28"/>
  <c r="AF28"/>
  <c r="AG28"/>
  <c r="CU28" s="1"/>
  <c r="T28" s="1"/>
  <c r="AH28"/>
  <c r="AI28"/>
  <c r="AJ28"/>
  <c r="CV28"/>
  <c r="U28" s="1"/>
  <c r="CW28"/>
  <c r="V28" s="1"/>
  <c r="CX28"/>
  <c r="W28" s="1"/>
  <c r="FR28"/>
  <c r="GL28"/>
  <c r="BZ42" s="1"/>
  <c r="CG42" s="1"/>
  <c r="CG26" s="1"/>
  <c r="GO28"/>
  <c r="GP28"/>
  <c r="CD42" s="1"/>
  <c r="GV28"/>
  <c r="GX28"/>
  <c r="C29"/>
  <c r="D29"/>
  <c r="AC29"/>
  <c r="AE29"/>
  <c r="I48" i="6" s="1"/>
  <c r="R48" s="1"/>
  <c r="AF29" i="1"/>
  <c r="AG29"/>
  <c r="AH29"/>
  <c r="CV29" s="1"/>
  <c r="U29" s="1"/>
  <c r="AI29"/>
  <c r="CW29" s="1"/>
  <c r="V29" s="1"/>
  <c r="AJ29"/>
  <c r="CX29" s="1"/>
  <c r="W29" s="1"/>
  <c r="CQ29"/>
  <c r="P29" s="1"/>
  <c r="CU29"/>
  <c r="T29" s="1"/>
  <c r="FR29"/>
  <c r="GL29"/>
  <c r="GO29"/>
  <c r="GP29"/>
  <c r="GV29"/>
  <c r="GX29"/>
  <c r="C30"/>
  <c r="D30"/>
  <c r="AC30"/>
  <c r="I57" i="6" s="1"/>
  <c r="AD30" i="1"/>
  <c r="AE30"/>
  <c r="AF30"/>
  <c r="AG30"/>
  <c r="CU30" s="1"/>
  <c r="T30" s="1"/>
  <c r="AH30"/>
  <c r="CV30" s="1"/>
  <c r="U30" s="1"/>
  <c r="AI30"/>
  <c r="CW30" s="1"/>
  <c r="V30" s="1"/>
  <c r="AJ30"/>
  <c r="CX30" s="1"/>
  <c r="W30" s="1"/>
  <c r="CQ30"/>
  <c r="P30" s="1"/>
  <c r="L57" i="6" s="1"/>
  <c r="CS30" i="1"/>
  <c r="R30" s="1"/>
  <c r="FR30"/>
  <c r="GL30"/>
  <c r="GO30"/>
  <c r="GP30"/>
  <c r="GV30"/>
  <c r="GX30" s="1"/>
  <c r="C31"/>
  <c r="D31"/>
  <c r="I31"/>
  <c r="AC31"/>
  <c r="CQ31" s="1"/>
  <c r="P31" s="1"/>
  <c r="AE31"/>
  <c r="I66" i="6" s="1"/>
  <c r="R66" s="1"/>
  <c r="AF31" i="1"/>
  <c r="AG31"/>
  <c r="CU31" s="1"/>
  <c r="T31" s="1"/>
  <c r="AH31"/>
  <c r="CV31" s="1"/>
  <c r="AI31"/>
  <c r="CW31" s="1"/>
  <c r="V31" s="1"/>
  <c r="AJ31"/>
  <c r="CS31"/>
  <c r="R31" s="1"/>
  <c r="CX31"/>
  <c r="W31" s="1"/>
  <c r="FR31"/>
  <c r="GL31"/>
  <c r="GO31"/>
  <c r="GP31"/>
  <c r="GV31"/>
  <c r="GX31"/>
  <c r="C32"/>
  <c r="D32"/>
  <c r="I32"/>
  <c r="AC32"/>
  <c r="CQ32" s="1"/>
  <c r="P32" s="1"/>
  <c r="AE32"/>
  <c r="U66" i="5" s="1"/>
  <c r="H72" s="1"/>
  <c r="AF32" i="1"/>
  <c r="AG32"/>
  <c r="CU32" s="1"/>
  <c r="T32" s="1"/>
  <c r="AH32"/>
  <c r="CV32" s="1"/>
  <c r="U32" s="1"/>
  <c r="AI32"/>
  <c r="CW32" s="1"/>
  <c r="V32" s="1"/>
  <c r="AJ32"/>
  <c r="CT32"/>
  <c r="S32" s="1"/>
  <c r="L73" i="6" s="1"/>
  <c r="CX32" i="1"/>
  <c r="W32" s="1"/>
  <c r="FR32"/>
  <c r="GL32"/>
  <c r="GO32"/>
  <c r="GP32"/>
  <c r="GV32"/>
  <c r="GX32" s="1"/>
  <c r="C33"/>
  <c r="D33"/>
  <c r="I33"/>
  <c r="AC33"/>
  <c r="CQ33" s="1"/>
  <c r="P33" s="1"/>
  <c r="AE33"/>
  <c r="AF33"/>
  <c r="AG33"/>
  <c r="AH33"/>
  <c r="CV33" s="1"/>
  <c r="U33" s="1"/>
  <c r="AI33"/>
  <c r="AJ33"/>
  <c r="CX33" s="1"/>
  <c r="W33" s="1"/>
  <c r="CU33"/>
  <c r="CW33"/>
  <c r="V33" s="1"/>
  <c r="FR33"/>
  <c r="GL33"/>
  <c r="GO33"/>
  <c r="GP33"/>
  <c r="GV33"/>
  <c r="GX33" s="1"/>
  <c r="C34"/>
  <c r="D34"/>
  <c r="I34"/>
  <c r="AC34"/>
  <c r="CQ34" s="1"/>
  <c r="P34" s="1"/>
  <c r="AE34"/>
  <c r="CS34" s="1"/>
  <c r="R34" s="1"/>
  <c r="GK34" s="1"/>
  <c r="AF34"/>
  <c r="AG34"/>
  <c r="CU34" s="1"/>
  <c r="T34" s="1"/>
  <c r="AH34"/>
  <c r="AI34"/>
  <c r="AJ34"/>
  <c r="CX34" s="1"/>
  <c r="W34" s="1"/>
  <c r="CT34"/>
  <c r="S34" s="1"/>
  <c r="CV34"/>
  <c r="U34" s="1"/>
  <c r="CW34"/>
  <c r="V34" s="1"/>
  <c r="FR34"/>
  <c r="GL34"/>
  <c r="GO34"/>
  <c r="GP34"/>
  <c r="GV34"/>
  <c r="GX34" s="1"/>
  <c r="C35"/>
  <c r="D35"/>
  <c r="I35"/>
  <c r="AC35"/>
  <c r="AD35"/>
  <c r="AE35"/>
  <c r="AF35"/>
  <c r="AG35"/>
  <c r="CU35" s="1"/>
  <c r="AH35"/>
  <c r="CV35" s="1"/>
  <c r="U35" s="1"/>
  <c r="AI35"/>
  <c r="AJ35"/>
  <c r="CX35" s="1"/>
  <c r="W35" s="1"/>
  <c r="CQ35"/>
  <c r="P35" s="1"/>
  <c r="CS35"/>
  <c r="R35" s="1"/>
  <c r="GK35" s="1"/>
  <c r="CW35"/>
  <c r="V35" s="1"/>
  <c r="FR35"/>
  <c r="GL35"/>
  <c r="GO35"/>
  <c r="GP35"/>
  <c r="GV35"/>
  <c r="GX35"/>
  <c r="C36"/>
  <c r="D36"/>
  <c r="I36"/>
  <c r="AC36"/>
  <c r="CQ36" s="1"/>
  <c r="P36" s="1"/>
  <c r="AE36"/>
  <c r="AF36"/>
  <c r="S99" i="5" s="1"/>
  <c r="H104" s="1"/>
  <c r="AG36" i="1"/>
  <c r="CU36" s="1"/>
  <c r="T36" s="1"/>
  <c r="AH36"/>
  <c r="CV36" s="1"/>
  <c r="U36" s="1"/>
  <c r="AI36"/>
  <c r="CW36" s="1"/>
  <c r="V36" s="1"/>
  <c r="AJ36"/>
  <c r="CT36"/>
  <c r="S36" s="1"/>
  <c r="CX36"/>
  <c r="W36" s="1"/>
  <c r="FR36"/>
  <c r="GL36"/>
  <c r="GO36"/>
  <c r="GP36"/>
  <c r="GV36"/>
  <c r="GX36" s="1"/>
  <c r="C37"/>
  <c r="D37"/>
  <c r="I37"/>
  <c r="AC37"/>
  <c r="AD37"/>
  <c r="AE37"/>
  <c r="AF37"/>
  <c r="AG37"/>
  <c r="AH37"/>
  <c r="AI37"/>
  <c r="AJ37"/>
  <c r="CX37" s="1"/>
  <c r="W37" s="1"/>
  <c r="CQ37"/>
  <c r="CS37"/>
  <c r="R37" s="1"/>
  <c r="CU37"/>
  <c r="CV37"/>
  <c r="U37" s="1"/>
  <c r="CW37"/>
  <c r="FR37"/>
  <c r="GL37"/>
  <c r="GO37"/>
  <c r="GP37"/>
  <c r="GV37"/>
  <c r="GX37" s="1"/>
  <c r="C38"/>
  <c r="D38"/>
  <c r="I38"/>
  <c r="C118" i="5" s="1"/>
  <c r="AC38" i="1"/>
  <c r="AE38"/>
  <c r="AF38"/>
  <c r="AG38"/>
  <c r="CU38" s="1"/>
  <c r="AH38"/>
  <c r="CV38" s="1"/>
  <c r="AI38"/>
  <c r="CW38" s="1"/>
  <c r="AJ38"/>
  <c r="CS38"/>
  <c r="CT38"/>
  <c r="S38" s="1"/>
  <c r="CX38"/>
  <c r="W38" s="1"/>
  <c r="FR38"/>
  <c r="GL38"/>
  <c r="GO38"/>
  <c r="GP38"/>
  <c r="GV38"/>
  <c r="GX38"/>
  <c r="C39"/>
  <c r="D39"/>
  <c r="I39"/>
  <c r="AC39"/>
  <c r="AE39"/>
  <c r="AF39"/>
  <c r="AG39"/>
  <c r="AH39"/>
  <c r="CV39" s="1"/>
  <c r="U39" s="1"/>
  <c r="AI39"/>
  <c r="CW39" s="1"/>
  <c r="V39" s="1"/>
  <c r="AJ39"/>
  <c r="CQ39"/>
  <c r="P39" s="1"/>
  <c r="L136" i="6" s="1"/>
  <c r="CU39" i="1"/>
  <c r="T39" s="1"/>
  <c r="CX39"/>
  <c r="W39" s="1"/>
  <c r="FR39"/>
  <c r="GL39"/>
  <c r="GO39"/>
  <c r="GP39"/>
  <c r="GV39"/>
  <c r="GX39"/>
  <c r="C40"/>
  <c r="D40"/>
  <c r="I40"/>
  <c r="W40"/>
  <c r="AC40"/>
  <c r="CQ40" s="1"/>
  <c r="P40" s="1"/>
  <c r="AE40"/>
  <c r="H140" i="5" s="1"/>
  <c r="R140" s="1"/>
  <c r="AF40" i="1"/>
  <c r="AG40"/>
  <c r="CU40" s="1"/>
  <c r="T40" s="1"/>
  <c r="AH40"/>
  <c r="AI40"/>
  <c r="CW40" s="1"/>
  <c r="V40" s="1"/>
  <c r="AJ40"/>
  <c r="CT40"/>
  <c r="S40" s="1"/>
  <c r="L143" i="6" s="1"/>
  <c r="CV40" i="1"/>
  <c r="U40" s="1"/>
  <c r="CX40"/>
  <c r="FR40"/>
  <c r="GL40"/>
  <c r="GO40"/>
  <c r="GP40"/>
  <c r="GV40"/>
  <c r="GX40" s="1"/>
  <c r="B42"/>
  <c r="B26" s="1"/>
  <c r="C42"/>
  <c r="C26" s="1"/>
  <c r="D42"/>
  <c r="D26" s="1"/>
  <c r="F42"/>
  <c r="F26" s="1"/>
  <c r="G42"/>
  <c r="AO42"/>
  <c r="AO26" s="1"/>
  <c r="BX42"/>
  <c r="BX26" s="1"/>
  <c r="BY42"/>
  <c r="AP42" s="1"/>
  <c r="CC42"/>
  <c r="CC26" s="1"/>
  <c r="CK42"/>
  <c r="CK26" s="1"/>
  <c r="CL42"/>
  <c r="CL26" s="1"/>
  <c r="D72"/>
  <c r="E74"/>
  <c r="Z74"/>
  <c r="AA74"/>
  <c r="AM74"/>
  <c r="AN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CM74"/>
  <c r="CN74"/>
  <c r="CO74"/>
  <c r="CP74"/>
  <c r="CQ74"/>
  <c r="CR74"/>
  <c r="CS74"/>
  <c r="CT74"/>
  <c r="CU74"/>
  <c r="CV74"/>
  <c r="CW74"/>
  <c r="CX74"/>
  <c r="CY74"/>
  <c r="CZ74"/>
  <c r="DA74"/>
  <c r="DB74"/>
  <c r="DC74"/>
  <c r="DD74"/>
  <c r="DE74"/>
  <c r="DF74"/>
  <c r="DG74"/>
  <c r="DH74"/>
  <c r="DI74"/>
  <c r="DJ74"/>
  <c r="DK74"/>
  <c r="DL74"/>
  <c r="DM74"/>
  <c r="DN74"/>
  <c r="DO74"/>
  <c r="DP74"/>
  <c r="DQ74"/>
  <c r="DR74"/>
  <c r="DS74"/>
  <c r="DT74"/>
  <c r="DU74"/>
  <c r="DV74"/>
  <c r="DW74"/>
  <c r="DX74"/>
  <c r="DY74"/>
  <c r="DZ74"/>
  <c r="EA74"/>
  <c r="EB74"/>
  <c r="EC74"/>
  <c r="ED74"/>
  <c r="EE74"/>
  <c r="EF74"/>
  <c r="EG74"/>
  <c r="EH74"/>
  <c r="EI74"/>
  <c r="EJ74"/>
  <c r="EK74"/>
  <c r="EL74"/>
  <c r="EM74"/>
  <c r="EN74"/>
  <c r="EO74"/>
  <c r="EP74"/>
  <c r="EQ74"/>
  <c r="ER74"/>
  <c r="ES74"/>
  <c r="ET74"/>
  <c r="EU74"/>
  <c r="EV74"/>
  <c r="EW74"/>
  <c r="EX74"/>
  <c r="EY74"/>
  <c r="EZ74"/>
  <c r="FA74"/>
  <c r="FB74"/>
  <c r="FC74"/>
  <c r="FD74"/>
  <c r="FE74"/>
  <c r="FF74"/>
  <c r="FG74"/>
  <c r="FH74"/>
  <c r="FI74"/>
  <c r="FJ74"/>
  <c r="FK74"/>
  <c r="FL74"/>
  <c r="FM74"/>
  <c r="FN74"/>
  <c r="FO74"/>
  <c r="FP74"/>
  <c r="FQ74"/>
  <c r="FR74"/>
  <c r="FS74"/>
  <c r="FT74"/>
  <c r="FU74"/>
  <c r="FV74"/>
  <c r="FW74"/>
  <c r="FX74"/>
  <c r="FY74"/>
  <c r="FZ74"/>
  <c r="GA74"/>
  <c r="GB74"/>
  <c r="GC74"/>
  <c r="GD74"/>
  <c r="GE74"/>
  <c r="GF74"/>
  <c r="GG74"/>
  <c r="GH74"/>
  <c r="GI74"/>
  <c r="GJ74"/>
  <c r="GK74"/>
  <c r="GL74"/>
  <c r="GM74"/>
  <c r="GN74"/>
  <c r="GO74"/>
  <c r="GP74"/>
  <c r="GQ74"/>
  <c r="GR74"/>
  <c r="GS74"/>
  <c r="GT74"/>
  <c r="GU74"/>
  <c r="GV74"/>
  <c r="GW74"/>
  <c r="GX74"/>
  <c r="C76"/>
  <c r="D76"/>
  <c r="I76"/>
  <c r="AC76"/>
  <c r="AE76"/>
  <c r="AF76"/>
  <c r="H154" i="5" s="1"/>
  <c r="R154" s="1"/>
  <c r="AG76" i="1"/>
  <c r="AH76"/>
  <c r="CV76" s="1"/>
  <c r="U76" s="1"/>
  <c r="AI76"/>
  <c r="AJ76"/>
  <c r="CX76" s="1"/>
  <c r="W76" s="1"/>
  <c r="CT76"/>
  <c r="S76" s="1"/>
  <c r="CU76"/>
  <c r="T76" s="1"/>
  <c r="CW76"/>
  <c r="V76" s="1"/>
  <c r="FR76"/>
  <c r="GL76"/>
  <c r="GO76"/>
  <c r="GP76"/>
  <c r="GV76"/>
  <c r="GX76" s="1"/>
  <c r="C77"/>
  <c r="D77"/>
  <c r="I77"/>
  <c r="AC77"/>
  <c r="I172" i="6" s="1"/>
  <c r="AE77" i="1"/>
  <c r="AF77"/>
  <c r="AG77"/>
  <c r="AH77"/>
  <c r="AI77"/>
  <c r="CW77" s="1"/>
  <c r="V77" s="1"/>
  <c r="AJ77"/>
  <c r="CX77" s="1"/>
  <c r="W77" s="1"/>
  <c r="CT77"/>
  <c r="S77" s="1"/>
  <c r="CU77"/>
  <c r="T77" s="1"/>
  <c r="CV77"/>
  <c r="U77" s="1"/>
  <c r="FR77"/>
  <c r="GL77"/>
  <c r="GO77"/>
  <c r="GP77"/>
  <c r="GV77"/>
  <c r="GX77" s="1"/>
  <c r="C78"/>
  <c r="D78"/>
  <c r="I78"/>
  <c r="AC78"/>
  <c r="AE78"/>
  <c r="H176" i="5" s="1"/>
  <c r="R176" s="1"/>
  <c r="AF78" i="1"/>
  <c r="AG78"/>
  <c r="CU78" s="1"/>
  <c r="AH78"/>
  <c r="AI78"/>
  <c r="AJ78"/>
  <c r="CX78" s="1"/>
  <c r="CQ78"/>
  <c r="CT78"/>
  <c r="CV78"/>
  <c r="CW78"/>
  <c r="FR78"/>
  <c r="GL78"/>
  <c r="GO78"/>
  <c r="GP78"/>
  <c r="GV78"/>
  <c r="AC79"/>
  <c r="AE79"/>
  <c r="AD79" s="1"/>
  <c r="AF79"/>
  <c r="AG79"/>
  <c r="CU79" s="1"/>
  <c r="T79" s="1"/>
  <c r="AH79"/>
  <c r="CV79" s="1"/>
  <c r="U79" s="1"/>
  <c r="AI79"/>
  <c r="AJ79"/>
  <c r="CX79" s="1"/>
  <c r="W79" s="1"/>
  <c r="CS79"/>
  <c r="R79" s="1"/>
  <c r="CW79"/>
  <c r="V79" s="1"/>
  <c r="FR79"/>
  <c r="GK79"/>
  <c r="GL79"/>
  <c r="GO79"/>
  <c r="GP79"/>
  <c r="GV79"/>
  <c r="GX79" s="1"/>
  <c r="C80"/>
  <c r="D80"/>
  <c r="I80"/>
  <c r="AC80"/>
  <c r="AD80"/>
  <c r="AE80"/>
  <c r="AF80"/>
  <c r="AG80"/>
  <c r="CU80" s="1"/>
  <c r="AH80"/>
  <c r="AI80"/>
  <c r="AJ80"/>
  <c r="CQ80"/>
  <c r="CS80"/>
  <c r="R80" s="1"/>
  <c r="CV80"/>
  <c r="U80" s="1"/>
  <c r="L194" i="5" s="1"/>
  <c r="Q194" s="1"/>
  <c r="CW80" i="1"/>
  <c r="CX80"/>
  <c r="W80" s="1"/>
  <c r="FR80"/>
  <c r="GL80"/>
  <c r="GO80"/>
  <c r="GP80"/>
  <c r="GV80"/>
  <c r="GX80" s="1"/>
  <c r="C81"/>
  <c r="D81"/>
  <c r="I81"/>
  <c r="H199" i="5" s="1"/>
  <c r="R199" s="1"/>
  <c r="AC81" i="1"/>
  <c r="AD81"/>
  <c r="AE81"/>
  <c r="AF81"/>
  <c r="H197" i="5" s="1"/>
  <c r="R197" s="1"/>
  <c r="AG81" i="1"/>
  <c r="AH81"/>
  <c r="CV81" s="1"/>
  <c r="U81" s="1"/>
  <c r="L203" i="5" s="1"/>
  <c r="AI81" i="1"/>
  <c r="CW81" s="1"/>
  <c r="AJ81"/>
  <c r="CX81" s="1"/>
  <c r="W81" s="1"/>
  <c r="CQ81"/>
  <c r="P81" s="1"/>
  <c r="CS81"/>
  <c r="R81" s="1"/>
  <c r="CU81"/>
  <c r="T81" s="1"/>
  <c r="FR81"/>
  <c r="GL81"/>
  <c r="GO81"/>
  <c r="GP81"/>
  <c r="GV81"/>
  <c r="GX81" s="1"/>
  <c r="I82"/>
  <c r="AA204" i="5" s="1"/>
  <c r="W82" i="1"/>
  <c r="AC82"/>
  <c r="AE82"/>
  <c r="AD82" s="1"/>
  <c r="CR82" s="1"/>
  <c r="Q82" s="1"/>
  <c r="AF82"/>
  <c r="AG82"/>
  <c r="CU82" s="1"/>
  <c r="T82" s="1"/>
  <c r="AH82"/>
  <c r="CV82" s="1"/>
  <c r="AI82"/>
  <c r="AJ82"/>
  <c r="CS82"/>
  <c r="R82" s="1"/>
  <c r="GK82" s="1"/>
  <c r="CT82"/>
  <c r="CW82"/>
  <c r="V82" s="1"/>
  <c r="CX82"/>
  <c r="FR82"/>
  <c r="GL82"/>
  <c r="GO82"/>
  <c r="GP82"/>
  <c r="GV82"/>
  <c r="GX82"/>
  <c r="W83"/>
  <c r="AC83"/>
  <c r="AE83"/>
  <c r="AD83" s="1"/>
  <c r="CR83" s="1"/>
  <c r="Q83" s="1"/>
  <c r="AF83"/>
  <c r="AG83"/>
  <c r="CU83" s="1"/>
  <c r="T83" s="1"/>
  <c r="AH83"/>
  <c r="CV83" s="1"/>
  <c r="U83" s="1"/>
  <c r="AI83"/>
  <c r="AJ83"/>
  <c r="CS83"/>
  <c r="R83" s="1"/>
  <c r="GK83" s="1"/>
  <c r="CT83"/>
  <c r="S83" s="1"/>
  <c r="CW83"/>
  <c r="V83" s="1"/>
  <c r="CX83"/>
  <c r="FR83"/>
  <c r="GL83"/>
  <c r="GO83"/>
  <c r="GP83"/>
  <c r="GV83"/>
  <c r="GX83"/>
  <c r="C84"/>
  <c r="D84"/>
  <c r="I84"/>
  <c r="AC84"/>
  <c r="I219" i="6" s="1"/>
  <c r="AE84" i="1"/>
  <c r="AF84"/>
  <c r="S209" i="5" s="1"/>
  <c r="H215" s="1"/>
  <c r="AG84" i="1"/>
  <c r="AH84"/>
  <c r="CV84" s="1"/>
  <c r="U84" s="1"/>
  <c r="AI84"/>
  <c r="AJ84"/>
  <c r="CX84" s="1"/>
  <c r="W84" s="1"/>
  <c r="CT84"/>
  <c r="S84" s="1"/>
  <c r="CU84"/>
  <c r="T84" s="1"/>
  <c r="CW84"/>
  <c r="V84" s="1"/>
  <c r="FR84"/>
  <c r="GL84"/>
  <c r="GO84"/>
  <c r="GP84"/>
  <c r="GV84"/>
  <c r="GX84" s="1"/>
  <c r="AC85"/>
  <c r="AE85"/>
  <c r="CS85" s="1"/>
  <c r="R85" s="1"/>
  <c r="GK85" s="1"/>
  <c r="AF85"/>
  <c r="AG85"/>
  <c r="AH85"/>
  <c r="CV85" s="1"/>
  <c r="U85" s="1"/>
  <c r="M226" i="6" s="1"/>
  <c r="Q226" s="1"/>
  <c r="AI85" i="1"/>
  <c r="CW85" s="1"/>
  <c r="V85" s="1"/>
  <c r="AJ85"/>
  <c r="CQ85"/>
  <c r="P85" s="1"/>
  <c r="CT85"/>
  <c r="S85" s="1"/>
  <c r="CU85"/>
  <c r="T85" s="1"/>
  <c r="CX85"/>
  <c r="W85" s="1"/>
  <c r="FR85"/>
  <c r="GL85"/>
  <c r="GO85"/>
  <c r="GP85"/>
  <c r="GV85"/>
  <c r="GX85" s="1"/>
  <c r="C86"/>
  <c r="D86"/>
  <c r="I86"/>
  <c r="AC86"/>
  <c r="AE86"/>
  <c r="AF86"/>
  <c r="AG86"/>
  <c r="AH86"/>
  <c r="AI86"/>
  <c r="CW86" s="1"/>
  <c r="AJ86"/>
  <c r="CX86" s="1"/>
  <c r="W86" s="1"/>
  <c r="CT86"/>
  <c r="S86" s="1"/>
  <c r="L229" i="6" s="1"/>
  <c r="CU86" i="1"/>
  <c r="CV86"/>
  <c r="U86" s="1"/>
  <c r="FR86"/>
  <c r="GL86"/>
  <c r="GO86"/>
  <c r="GP86"/>
  <c r="GV86"/>
  <c r="AC87"/>
  <c r="AE87"/>
  <c r="AD87" s="1"/>
  <c r="CR87" s="1"/>
  <c r="Q87" s="1"/>
  <c r="AF87"/>
  <c r="AG87"/>
  <c r="AH87"/>
  <c r="AI87"/>
  <c r="CW87" s="1"/>
  <c r="V87" s="1"/>
  <c r="AJ87"/>
  <c r="CX87" s="1"/>
  <c r="W87" s="1"/>
  <c r="CQ87"/>
  <c r="P87" s="1"/>
  <c r="CT87"/>
  <c r="S87" s="1"/>
  <c r="CU87"/>
  <c r="T87" s="1"/>
  <c r="CV87"/>
  <c r="U87" s="1"/>
  <c r="FR87"/>
  <c r="GL87"/>
  <c r="GO87"/>
  <c r="GP87"/>
  <c r="GV87"/>
  <c r="GX87" s="1"/>
  <c r="C88"/>
  <c r="D88"/>
  <c r="I88"/>
  <c r="AC88"/>
  <c r="I245" i="6" s="1"/>
  <c r="AE88" i="1"/>
  <c r="AF88"/>
  <c r="AG88"/>
  <c r="CU88" s="1"/>
  <c r="AH88"/>
  <c r="AI88"/>
  <c r="AJ88"/>
  <c r="CX88" s="1"/>
  <c r="CS88"/>
  <c r="CV88"/>
  <c r="CW88"/>
  <c r="FR88"/>
  <c r="GL88"/>
  <c r="GN88"/>
  <c r="GP88"/>
  <c r="GV88"/>
  <c r="AC89"/>
  <c r="AE89"/>
  <c r="AD89" s="1"/>
  <c r="AF89"/>
  <c r="AG89"/>
  <c r="CU89" s="1"/>
  <c r="T89" s="1"/>
  <c r="AH89"/>
  <c r="CV89" s="1"/>
  <c r="U89" s="1"/>
  <c r="AI89"/>
  <c r="AJ89"/>
  <c r="CX89" s="1"/>
  <c r="W89" s="1"/>
  <c r="CS89"/>
  <c r="R89" s="1"/>
  <c r="CW89"/>
  <c r="V89" s="1"/>
  <c r="FR89"/>
  <c r="GK89"/>
  <c r="GL89"/>
  <c r="GN89"/>
  <c r="GP89"/>
  <c r="GV89"/>
  <c r="GX89" s="1"/>
  <c r="C90"/>
  <c r="D90"/>
  <c r="I90"/>
  <c r="AC90"/>
  <c r="AD90"/>
  <c r="AE90"/>
  <c r="AF90"/>
  <c r="AG90"/>
  <c r="CU90" s="1"/>
  <c r="AH90"/>
  <c r="AI90"/>
  <c r="AJ90"/>
  <c r="CQ90"/>
  <c r="CS90"/>
  <c r="R90" s="1"/>
  <c r="CV90"/>
  <c r="U90" s="1"/>
  <c r="CW90"/>
  <c r="CX90"/>
  <c r="W90" s="1"/>
  <c r="FR90"/>
  <c r="GL90"/>
  <c r="GO90"/>
  <c r="GP90"/>
  <c r="GV90"/>
  <c r="GX90" s="1"/>
  <c r="C91"/>
  <c r="D91"/>
  <c r="I91"/>
  <c r="AC91"/>
  <c r="AD91"/>
  <c r="AE91"/>
  <c r="AF91"/>
  <c r="AG91"/>
  <c r="AH91"/>
  <c r="CV91" s="1"/>
  <c r="U91" s="1"/>
  <c r="AI91"/>
  <c r="CW91" s="1"/>
  <c r="AJ91"/>
  <c r="CQ91"/>
  <c r="P91" s="1"/>
  <c r="CS91"/>
  <c r="R91" s="1"/>
  <c r="CU91"/>
  <c r="T91" s="1"/>
  <c r="CX91"/>
  <c r="W91" s="1"/>
  <c r="FR91"/>
  <c r="GL91"/>
  <c r="GO91"/>
  <c r="GP91"/>
  <c r="GV91"/>
  <c r="GX91"/>
  <c r="C92"/>
  <c r="D92"/>
  <c r="I92"/>
  <c r="AC92"/>
  <c r="AE92"/>
  <c r="AF92"/>
  <c r="AG92"/>
  <c r="AH92"/>
  <c r="AI92"/>
  <c r="CW92" s="1"/>
  <c r="V92" s="1"/>
  <c r="AJ92"/>
  <c r="CX92" s="1"/>
  <c r="W92" s="1"/>
  <c r="CS92"/>
  <c r="R92" s="1"/>
  <c r="CU92"/>
  <c r="CV92"/>
  <c r="U92" s="1"/>
  <c r="FR92"/>
  <c r="GL92"/>
  <c r="GO92"/>
  <c r="GP92"/>
  <c r="GV92"/>
  <c r="GX92" s="1"/>
  <c r="AC93"/>
  <c r="AD93"/>
  <c r="AE93"/>
  <c r="CS93" s="1"/>
  <c r="AF93"/>
  <c r="AG93"/>
  <c r="CU93" s="1"/>
  <c r="AH93"/>
  <c r="CV93" s="1"/>
  <c r="AI93"/>
  <c r="AJ93"/>
  <c r="CX93" s="1"/>
  <c r="CQ93"/>
  <c r="CR93"/>
  <c r="CW93"/>
  <c r="FR93"/>
  <c r="GL93"/>
  <c r="GO93"/>
  <c r="GP93"/>
  <c r="GV93"/>
  <c r="T94"/>
  <c r="AC94"/>
  <c r="AE94"/>
  <c r="CS94" s="1"/>
  <c r="R94" s="1"/>
  <c r="GK94" s="1"/>
  <c r="AF94"/>
  <c r="AG94"/>
  <c r="AH94"/>
  <c r="CV94" s="1"/>
  <c r="U94" s="1"/>
  <c r="AI94"/>
  <c r="AJ94"/>
  <c r="CX94" s="1"/>
  <c r="W94" s="1"/>
  <c r="CT94"/>
  <c r="S94" s="1"/>
  <c r="CZ94" s="1"/>
  <c r="Y94" s="1"/>
  <c r="CU94"/>
  <c r="CW94"/>
  <c r="V94" s="1"/>
  <c r="FR94"/>
  <c r="GL94"/>
  <c r="GO94"/>
  <c r="GP94"/>
  <c r="GV94"/>
  <c r="GX94" s="1"/>
  <c r="S95"/>
  <c r="CZ95" s="1"/>
  <c r="Y95" s="1"/>
  <c r="U95"/>
  <c r="AC95"/>
  <c r="AE95"/>
  <c r="CS95" s="1"/>
  <c r="R95" s="1"/>
  <c r="GK95" s="1"/>
  <c r="AF95"/>
  <c r="AG95"/>
  <c r="AH95"/>
  <c r="CV95" s="1"/>
  <c r="AI95"/>
  <c r="CW95" s="1"/>
  <c r="V95" s="1"/>
  <c r="AJ95"/>
  <c r="CQ95"/>
  <c r="P95" s="1"/>
  <c r="L286" i="6" s="1"/>
  <c r="CT95" i="1"/>
  <c r="CU95"/>
  <c r="T95" s="1"/>
  <c r="CX95"/>
  <c r="W95" s="1"/>
  <c r="FR95"/>
  <c r="GL95"/>
  <c r="GO95"/>
  <c r="GP95"/>
  <c r="GV95"/>
  <c r="GX95" s="1"/>
  <c r="C96"/>
  <c r="D96"/>
  <c r="I96"/>
  <c r="AC96"/>
  <c r="AE96"/>
  <c r="AD96" s="1"/>
  <c r="AF96"/>
  <c r="AG96"/>
  <c r="AH96"/>
  <c r="AI96"/>
  <c r="CW96" s="1"/>
  <c r="V96" s="1"/>
  <c r="AJ96"/>
  <c r="CX96" s="1"/>
  <c r="W96" s="1"/>
  <c r="CQ96"/>
  <c r="P96" s="1"/>
  <c r="CT96"/>
  <c r="S96" s="1"/>
  <c r="CU96"/>
  <c r="T96" s="1"/>
  <c r="CV96"/>
  <c r="U96" s="1"/>
  <c r="FR96"/>
  <c r="GL96"/>
  <c r="GO96"/>
  <c r="GP96"/>
  <c r="GV96"/>
  <c r="GX96" s="1"/>
  <c r="C97"/>
  <c r="D97"/>
  <c r="W97"/>
  <c r="AC97"/>
  <c r="AE97"/>
  <c r="AD97" s="1"/>
  <c r="AF97"/>
  <c r="AG97"/>
  <c r="CU97" s="1"/>
  <c r="T97" s="1"/>
  <c r="AH97"/>
  <c r="CV97" s="1"/>
  <c r="U97" s="1"/>
  <c r="AI97"/>
  <c r="AJ97"/>
  <c r="CS97"/>
  <c r="R97" s="1"/>
  <c r="GK97" s="1"/>
  <c r="CT97"/>
  <c r="S97" s="1"/>
  <c r="L298" i="6" s="1"/>
  <c r="CW97" i="1"/>
  <c r="V97" s="1"/>
  <c r="CX97"/>
  <c r="FR97"/>
  <c r="GL97"/>
  <c r="GO97"/>
  <c r="GP97"/>
  <c r="GV97"/>
  <c r="GX97"/>
  <c r="W98"/>
  <c r="AC98"/>
  <c r="AE98"/>
  <c r="AD98" s="1"/>
  <c r="CR98" s="1"/>
  <c r="Q98" s="1"/>
  <c r="AF98"/>
  <c r="AG98"/>
  <c r="CU98" s="1"/>
  <c r="T98" s="1"/>
  <c r="AH98"/>
  <c r="CV98" s="1"/>
  <c r="U98" s="1"/>
  <c r="M307" i="6" s="1"/>
  <c r="Q307" s="1"/>
  <c r="AI98" i="1"/>
  <c r="AJ98"/>
  <c r="CS98"/>
  <c r="R98" s="1"/>
  <c r="GK98" s="1"/>
  <c r="CT98"/>
  <c r="S98" s="1"/>
  <c r="CW98"/>
  <c r="V98" s="1"/>
  <c r="CX98"/>
  <c r="FR98"/>
  <c r="GL98"/>
  <c r="GO98"/>
  <c r="GP98"/>
  <c r="GV98"/>
  <c r="GX98"/>
  <c r="C99"/>
  <c r="D99"/>
  <c r="I99"/>
  <c r="S99"/>
  <c r="L310" i="6" s="1"/>
  <c r="U99" i="1"/>
  <c r="AC99"/>
  <c r="AE99"/>
  <c r="CS99" s="1"/>
  <c r="R99" s="1"/>
  <c r="GK99" s="1"/>
  <c r="AF99"/>
  <c r="AG99"/>
  <c r="AH99"/>
  <c r="CV99" s="1"/>
  <c r="AI99"/>
  <c r="CW99" s="1"/>
  <c r="V99" s="1"/>
  <c r="AJ99"/>
  <c r="CQ99"/>
  <c r="P99" s="1"/>
  <c r="CT99"/>
  <c r="CU99"/>
  <c r="T99" s="1"/>
  <c r="CX99"/>
  <c r="W99" s="1"/>
  <c r="FR99"/>
  <c r="GL99"/>
  <c r="GO99"/>
  <c r="GP99"/>
  <c r="GV99"/>
  <c r="GX99" s="1"/>
  <c r="T100"/>
  <c r="AC100"/>
  <c r="AE100"/>
  <c r="CS100" s="1"/>
  <c r="R100" s="1"/>
  <c r="GK100" s="1"/>
  <c r="AF100"/>
  <c r="AG100"/>
  <c r="AH100"/>
  <c r="CV100" s="1"/>
  <c r="U100" s="1"/>
  <c r="AI100"/>
  <c r="AJ100"/>
  <c r="CX100" s="1"/>
  <c r="W100" s="1"/>
  <c r="CT100"/>
  <c r="S100" s="1"/>
  <c r="CZ100" s="1"/>
  <c r="Y100" s="1"/>
  <c r="CU100"/>
  <c r="CW100"/>
  <c r="V100" s="1"/>
  <c r="FR100"/>
  <c r="GL100"/>
  <c r="GO100"/>
  <c r="GP100"/>
  <c r="GV100"/>
  <c r="GX100" s="1"/>
  <c r="S101"/>
  <c r="CZ101" s="1"/>
  <c r="Y101" s="1"/>
  <c r="U101"/>
  <c r="AC101"/>
  <c r="AE101"/>
  <c r="CS101" s="1"/>
  <c r="R101" s="1"/>
  <c r="GK101" s="1"/>
  <c r="AF101"/>
  <c r="AG101"/>
  <c r="AH101"/>
  <c r="CV101" s="1"/>
  <c r="AI101"/>
  <c r="CW101" s="1"/>
  <c r="V101" s="1"/>
  <c r="AJ101"/>
  <c r="CQ101"/>
  <c r="P101" s="1"/>
  <c r="L320" i="6" s="1"/>
  <c r="CT101" i="1"/>
  <c r="CU101"/>
  <c r="T101" s="1"/>
  <c r="CX101"/>
  <c r="W101" s="1"/>
  <c r="FR101"/>
  <c r="GL101"/>
  <c r="GO101"/>
  <c r="GP101"/>
  <c r="GV101"/>
  <c r="GX101" s="1"/>
  <c r="T102"/>
  <c r="AC102"/>
  <c r="AE102"/>
  <c r="CS102" s="1"/>
  <c r="R102" s="1"/>
  <c r="GK102" s="1"/>
  <c r="AF102"/>
  <c r="AG102"/>
  <c r="AH102"/>
  <c r="CV102" s="1"/>
  <c r="U102" s="1"/>
  <c r="AI102"/>
  <c r="AJ102"/>
  <c r="CX102" s="1"/>
  <c r="W102" s="1"/>
  <c r="CT102"/>
  <c r="S102" s="1"/>
  <c r="CZ102" s="1"/>
  <c r="Y102" s="1"/>
  <c r="CU102"/>
  <c r="CW102"/>
  <c r="V102" s="1"/>
  <c r="FR102"/>
  <c r="GL102"/>
  <c r="GO102"/>
  <c r="GP102"/>
  <c r="GV102"/>
  <c r="GX102" s="1"/>
  <c r="S103"/>
  <c r="CZ103" s="1"/>
  <c r="Y103" s="1"/>
  <c r="U103"/>
  <c r="AC103"/>
  <c r="AE103"/>
  <c r="CS103" s="1"/>
  <c r="R103" s="1"/>
  <c r="GK103" s="1"/>
  <c r="AF103"/>
  <c r="AG103"/>
  <c r="AH103"/>
  <c r="CV103" s="1"/>
  <c r="AI103"/>
  <c r="CW103" s="1"/>
  <c r="V103" s="1"/>
  <c r="AJ103"/>
  <c r="CQ103"/>
  <c r="P103" s="1"/>
  <c r="L326" i="6" s="1"/>
  <c r="CT103" i="1"/>
  <c r="CU103"/>
  <c r="T103" s="1"/>
  <c r="CX103"/>
  <c r="W103" s="1"/>
  <c r="FR103"/>
  <c r="GL103"/>
  <c r="GO103"/>
  <c r="GP103"/>
  <c r="GV103"/>
  <c r="GX103" s="1"/>
  <c r="C104"/>
  <c r="D104"/>
  <c r="I104"/>
  <c r="AC104"/>
  <c r="AE104"/>
  <c r="AD104" s="1"/>
  <c r="AF104"/>
  <c r="AG104"/>
  <c r="AH104"/>
  <c r="AI104"/>
  <c r="CW104" s="1"/>
  <c r="V104" s="1"/>
  <c r="AJ104"/>
  <c r="CX104" s="1"/>
  <c r="W104" s="1"/>
  <c r="CT104"/>
  <c r="S104" s="1"/>
  <c r="CU104"/>
  <c r="T104" s="1"/>
  <c r="CV104"/>
  <c r="U104" s="1"/>
  <c r="FR104"/>
  <c r="GL104"/>
  <c r="GO104"/>
  <c r="GP104"/>
  <c r="GV104"/>
  <c r="GX104" s="1"/>
  <c r="B106"/>
  <c r="B74" s="1"/>
  <c r="C106"/>
  <c r="C74" s="1"/>
  <c r="D106"/>
  <c r="D74" s="1"/>
  <c r="F106"/>
  <c r="F74" s="1"/>
  <c r="G106"/>
  <c r="BB106"/>
  <c r="BB74" s="1"/>
  <c r="BX106"/>
  <c r="BX74" s="1"/>
  <c r="CK106"/>
  <c r="CK74" s="1"/>
  <c r="CL106"/>
  <c r="CL74" s="1"/>
  <c r="F119"/>
  <c r="D136"/>
  <c r="E138"/>
  <c r="Z138"/>
  <c r="AA138"/>
  <c r="AM138"/>
  <c r="AN138"/>
  <c r="BD138"/>
  <c r="BE138"/>
  <c r="BF138"/>
  <c r="BG138"/>
  <c r="BH138"/>
  <c r="BI138"/>
  <c r="BJ138"/>
  <c r="BK138"/>
  <c r="BL138"/>
  <c r="BM138"/>
  <c r="BN138"/>
  <c r="BO138"/>
  <c r="BP138"/>
  <c r="BQ138"/>
  <c r="BR138"/>
  <c r="BS138"/>
  <c r="BT138"/>
  <c r="BU138"/>
  <c r="BV138"/>
  <c r="BW138"/>
  <c r="CM138"/>
  <c r="CN138"/>
  <c r="CO138"/>
  <c r="CP138"/>
  <c r="CQ138"/>
  <c r="CR138"/>
  <c r="CS138"/>
  <c r="CT138"/>
  <c r="CU138"/>
  <c r="CV138"/>
  <c r="CW138"/>
  <c r="CX138"/>
  <c r="CY138"/>
  <c r="CZ138"/>
  <c r="DA138"/>
  <c r="DB138"/>
  <c r="DC138"/>
  <c r="DD138"/>
  <c r="DE138"/>
  <c r="DF138"/>
  <c r="DG138"/>
  <c r="DH138"/>
  <c r="DI138"/>
  <c r="DJ138"/>
  <c r="DK138"/>
  <c r="DL138"/>
  <c r="DM138"/>
  <c r="DN138"/>
  <c r="DO138"/>
  <c r="DP138"/>
  <c r="DQ138"/>
  <c r="DR138"/>
  <c r="DS138"/>
  <c r="DT138"/>
  <c r="DU138"/>
  <c r="DV138"/>
  <c r="DW138"/>
  <c r="DX138"/>
  <c r="DY138"/>
  <c r="DZ138"/>
  <c r="EA138"/>
  <c r="EB138"/>
  <c r="EC138"/>
  <c r="ED138"/>
  <c r="EE138"/>
  <c r="EF138"/>
  <c r="EG138"/>
  <c r="EH138"/>
  <c r="EI138"/>
  <c r="EJ138"/>
  <c r="EK138"/>
  <c r="EL138"/>
  <c r="EM138"/>
  <c r="EN138"/>
  <c r="EO138"/>
  <c r="EP138"/>
  <c r="EQ138"/>
  <c r="ER138"/>
  <c r="ES138"/>
  <c r="ET138"/>
  <c r="EU138"/>
  <c r="EV138"/>
  <c r="EW138"/>
  <c r="EX138"/>
  <c r="EY138"/>
  <c r="EZ138"/>
  <c r="FA138"/>
  <c r="FB138"/>
  <c r="FC138"/>
  <c r="FD138"/>
  <c r="FE138"/>
  <c r="FF138"/>
  <c r="FG138"/>
  <c r="FH138"/>
  <c r="FI138"/>
  <c r="FJ138"/>
  <c r="FK138"/>
  <c r="FL138"/>
  <c r="FM138"/>
  <c r="FN138"/>
  <c r="FO138"/>
  <c r="FP138"/>
  <c r="FQ138"/>
  <c r="FR138"/>
  <c r="FS138"/>
  <c r="FT138"/>
  <c r="FU138"/>
  <c r="FV138"/>
  <c r="FW138"/>
  <c r="FX138"/>
  <c r="FY138"/>
  <c r="FZ138"/>
  <c r="GA138"/>
  <c r="GB138"/>
  <c r="GC138"/>
  <c r="GD138"/>
  <c r="GE138"/>
  <c r="GF138"/>
  <c r="GG138"/>
  <c r="GH138"/>
  <c r="GI138"/>
  <c r="GJ138"/>
  <c r="GK138"/>
  <c r="GL138"/>
  <c r="GM138"/>
  <c r="GN138"/>
  <c r="GO138"/>
  <c r="GP138"/>
  <c r="GQ138"/>
  <c r="GR138"/>
  <c r="GS138"/>
  <c r="GT138"/>
  <c r="GU138"/>
  <c r="GV138"/>
  <c r="GW138"/>
  <c r="GX138"/>
  <c r="C141"/>
  <c r="D141"/>
  <c r="I141"/>
  <c r="AC141"/>
  <c r="AD141"/>
  <c r="AE141"/>
  <c r="AF141"/>
  <c r="AG141"/>
  <c r="CU141" s="1"/>
  <c r="T141" s="1"/>
  <c r="AH141"/>
  <c r="AI141"/>
  <c r="AJ141"/>
  <c r="CQ141"/>
  <c r="P141" s="1"/>
  <c r="CV141"/>
  <c r="U141" s="1"/>
  <c r="CW141"/>
  <c r="V141" s="1"/>
  <c r="CX141"/>
  <c r="W141" s="1"/>
  <c r="FR141"/>
  <c r="GL141"/>
  <c r="GO141"/>
  <c r="GP141"/>
  <c r="GV141"/>
  <c r="GX141" s="1"/>
  <c r="C142"/>
  <c r="D142"/>
  <c r="I142"/>
  <c r="AC142"/>
  <c r="AD142"/>
  <c r="CR142" s="1"/>
  <c r="Q142" s="1"/>
  <c r="AE142"/>
  <c r="AF142"/>
  <c r="AG142"/>
  <c r="AH142"/>
  <c r="AI142"/>
  <c r="CW142" s="1"/>
  <c r="AJ142"/>
  <c r="CX142" s="1"/>
  <c r="W142" s="1"/>
  <c r="CQ142"/>
  <c r="CS142"/>
  <c r="R142" s="1"/>
  <c r="GK142" s="1"/>
  <c r="CU142"/>
  <c r="CV142"/>
  <c r="FR142"/>
  <c r="GL142"/>
  <c r="GO142"/>
  <c r="GP142"/>
  <c r="GV142"/>
  <c r="GX142"/>
  <c r="C143"/>
  <c r="D143"/>
  <c r="I143"/>
  <c r="AC143"/>
  <c r="AE143"/>
  <c r="AF143"/>
  <c r="AG143"/>
  <c r="CU143" s="1"/>
  <c r="T143" s="1"/>
  <c r="AH143"/>
  <c r="CV143" s="1"/>
  <c r="U143" s="1"/>
  <c r="AI143"/>
  <c r="CW143" s="1"/>
  <c r="AJ143"/>
  <c r="CQ143"/>
  <c r="CT143"/>
  <c r="S143" s="1"/>
  <c r="CX143"/>
  <c r="W143" s="1"/>
  <c r="FR143"/>
  <c r="GL143"/>
  <c r="GO143"/>
  <c r="GP143"/>
  <c r="GV143"/>
  <c r="C144"/>
  <c r="D144"/>
  <c r="I144"/>
  <c r="AC144"/>
  <c r="CQ144" s="1"/>
  <c r="AE144"/>
  <c r="AF144"/>
  <c r="AG144"/>
  <c r="AH144"/>
  <c r="AI144"/>
  <c r="AJ144"/>
  <c r="CU144"/>
  <c r="CV144"/>
  <c r="CW144"/>
  <c r="V144" s="1"/>
  <c r="CX144"/>
  <c r="FR144"/>
  <c r="GL144"/>
  <c r="GO144"/>
  <c r="GP144"/>
  <c r="GV144"/>
  <c r="GX144" s="1"/>
  <c r="C145"/>
  <c r="D145"/>
  <c r="I145"/>
  <c r="AC145"/>
  <c r="CQ145" s="1"/>
  <c r="P145" s="1"/>
  <c r="AE145"/>
  <c r="AD145" s="1"/>
  <c r="AF145"/>
  <c r="AG145"/>
  <c r="AH145"/>
  <c r="CV145" s="1"/>
  <c r="U145" s="1"/>
  <c r="AI145"/>
  <c r="AJ145"/>
  <c r="CX145" s="1"/>
  <c r="W145" s="1"/>
  <c r="CR145"/>
  <c r="Q145" s="1"/>
  <c r="CS145"/>
  <c r="R145" s="1"/>
  <c r="GK145" s="1"/>
  <c r="CU145"/>
  <c r="T145" s="1"/>
  <c r="CW145"/>
  <c r="V145" s="1"/>
  <c r="FR145"/>
  <c r="GL145"/>
  <c r="GO145"/>
  <c r="GP145"/>
  <c r="GV145"/>
  <c r="GX145" s="1"/>
  <c r="C146"/>
  <c r="D146"/>
  <c r="I146"/>
  <c r="AC146"/>
  <c r="CQ146" s="1"/>
  <c r="P146" s="1"/>
  <c r="AE146"/>
  <c r="CS146" s="1"/>
  <c r="AF146"/>
  <c r="AG146"/>
  <c r="CU146" s="1"/>
  <c r="AH146"/>
  <c r="CV146" s="1"/>
  <c r="U146" s="1"/>
  <c r="AI146"/>
  <c r="AJ146"/>
  <c r="CT146"/>
  <c r="S146" s="1"/>
  <c r="CW146"/>
  <c r="V146" s="1"/>
  <c r="CX146"/>
  <c r="W146" s="1"/>
  <c r="FR146"/>
  <c r="GL146"/>
  <c r="GO146"/>
  <c r="GP146"/>
  <c r="GV146"/>
  <c r="GX146"/>
  <c r="C147"/>
  <c r="D147"/>
  <c r="I147"/>
  <c r="AC147"/>
  <c r="CQ147" s="1"/>
  <c r="P147" s="1"/>
  <c r="AE147"/>
  <c r="AF147"/>
  <c r="AG147"/>
  <c r="AH147"/>
  <c r="CV147" s="1"/>
  <c r="U147" s="1"/>
  <c r="AI147"/>
  <c r="CW147" s="1"/>
  <c r="V147" s="1"/>
  <c r="AJ147"/>
  <c r="CU147"/>
  <c r="T147" s="1"/>
  <c r="CX147"/>
  <c r="W147" s="1"/>
  <c r="FR147"/>
  <c r="GL147"/>
  <c r="GO147"/>
  <c r="GP147"/>
  <c r="GV147"/>
  <c r="GX147" s="1"/>
  <c r="C149"/>
  <c r="D149"/>
  <c r="I149"/>
  <c r="AC149"/>
  <c r="AE149"/>
  <c r="AF149"/>
  <c r="AG149"/>
  <c r="AH149"/>
  <c r="CV149" s="1"/>
  <c r="AI149"/>
  <c r="CW149" s="1"/>
  <c r="V149" s="1"/>
  <c r="AJ149"/>
  <c r="CX149" s="1"/>
  <c r="CU149"/>
  <c r="T149" s="1"/>
  <c r="FR149"/>
  <c r="GL149"/>
  <c r="GO149"/>
  <c r="GP149"/>
  <c r="GV149"/>
  <c r="GX149" s="1"/>
  <c r="C150"/>
  <c r="D150"/>
  <c r="I150"/>
  <c r="AC150"/>
  <c r="AE150"/>
  <c r="AF150"/>
  <c r="AG150"/>
  <c r="CU150" s="1"/>
  <c r="T150" s="1"/>
  <c r="AH150"/>
  <c r="CV150" s="1"/>
  <c r="U150" s="1"/>
  <c r="AI150"/>
  <c r="AJ150"/>
  <c r="CX150" s="1"/>
  <c r="W150" s="1"/>
  <c r="CW150"/>
  <c r="V150" s="1"/>
  <c r="FR150"/>
  <c r="GL150"/>
  <c r="GO150"/>
  <c r="GP150"/>
  <c r="GV150"/>
  <c r="GX150" s="1"/>
  <c r="C151"/>
  <c r="D151"/>
  <c r="I151"/>
  <c r="AC151"/>
  <c r="I428" i="6" s="1"/>
  <c r="AE151" i="1"/>
  <c r="AF151"/>
  <c r="AG151"/>
  <c r="CU151" s="1"/>
  <c r="T151" s="1"/>
  <c r="AH151"/>
  <c r="CV151" s="1"/>
  <c r="AI151"/>
  <c r="AJ151"/>
  <c r="CX151" s="1"/>
  <c r="CQ151"/>
  <c r="P151" s="1"/>
  <c r="L428" i="6" s="1"/>
  <c r="CT151" i="1"/>
  <c r="CW151"/>
  <c r="V151" s="1"/>
  <c r="FR151"/>
  <c r="GL151"/>
  <c r="GO151"/>
  <c r="GP151"/>
  <c r="GV151"/>
  <c r="C152"/>
  <c r="D152"/>
  <c r="I152"/>
  <c r="AC152"/>
  <c r="AE152"/>
  <c r="AF152"/>
  <c r="AG152"/>
  <c r="CU152" s="1"/>
  <c r="T152" s="1"/>
  <c r="AH152"/>
  <c r="AI152"/>
  <c r="CW152" s="1"/>
  <c r="V152" s="1"/>
  <c r="AJ152"/>
  <c r="CQ152"/>
  <c r="P152" s="1"/>
  <c r="L438" i="6" s="1"/>
  <c r="CT152" i="1"/>
  <c r="CV152"/>
  <c r="U152" s="1"/>
  <c r="CX152"/>
  <c r="W152" s="1"/>
  <c r="FR152"/>
  <c r="GL152"/>
  <c r="GO152"/>
  <c r="GP152"/>
  <c r="GV152"/>
  <c r="GX152" s="1"/>
  <c r="C153"/>
  <c r="D153"/>
  <c r="I153"/>
  <c r="T153"/>
  <c r="AC153"/>
  <c r="AD153"/>
  <c r="AE153"/>
  <c r="I447" i="6" s="1"/>
  <c r="R447" s="1"/>
  <c r="AF153" i="1"/>
  <c r="AG153"/>
  <c r="AH153"/>
  <c r="AI153"/>
  <c r="CW153" s="1"/>
  <c r="V153" s="1"/>
  <c r="AJ153"/>
  <c r="CX153" s="1"/>
  <c r="W153" s="1"/>
  <c r="CQ153"/>
  <c r="P153" s="1"/>
  <c r="CS153"/>
  <c r="R153" s="1"/>
  <c r="CU153"/>
  <c r="CV153"/>
  <c r="U153" s="1"/>
  <c r="FR153"/>
  <c r="GL153"/>
  <c r="GO153"/>
  <c r="GP153"/>
  <c r="GV153"/>
  <c r="GX153" s="1"/>
  <c r="C154"/>
  <c r="D154"/>
  <c r="I154"/>
  <c r="AC154"/>
  <c r="AE154"/>
  <c r="AF154"/>
  <c r="AG154"/>
  <c r="CU154" s="1"/>
  <c r="T154" s="1"/>
  <c r="AH154"/>
  <c r="AI154"/>
  <c r="CW154" s="1"/>
  <c r="V154" s="1"/>
  <c r="AJ154"/>
  <c r="CS154"/>
  <c r="R154" s="1"/>
  <c r="CV154"/>
  <c r="CX154"/>
  <c r="W154" s="1"/>
  <c r="FR154"/>
  <c r="GL154"/>
  <c r="GO154"/>
  <c r="GP154"/>
  <c r="GV154"/>
  <c r="GX154"/>
  <c r="C155"/>
  <c r="D155"/>
  <c r="I155"/>
  <c r="AC155"/>
  <c r="AE155"/>
  <c r="AF155"/>
  <c r="AG155"/>
  <c r="CU155" s="1"/>
  <c r="T155" s="1"/>
  <c r="AH155"/>
  <c r="CV155" s="1"/>
  <c r="U155" s="1"/>
  <c r="AI155"/>
  <c r="AJ155"/>
  <c r="CS155"/>
  <c r="R155" s="1"/>
  <c r="CW155"/>
  <c r="V155" s="1"/>
  <c r="CX155"/>
  <c r="W155" s="1"/>
  <c r="FR155"/>
  <c r="GL155"/>
  <c r="GO155"/>
  <c r="GP155"/>
  <c r="GV155"/>
  <c r="GX155" s="1"/>
  <c r="AC156"/>
  <c r="AE156"/>
  <c r="AD156" s="1"/>
  <c r="CR156" s="1"/>
  <c r="Q156" s="1"/>
  <c r="AF156"/>
  <c r="AG156"/>
  <c r="CU156" s="1"/>
  <c r="T156" s="1"/>
  <c r="AH156"/>
  <c r="CV156" s="1"/>
  <c r="U156" s="1"/>
  <c r="AI156"/>
  <c r="AJ156"/>
  <c r="CS156"/>
  <c r="R156" s="1"/>
  <c r="GK156" s="1"/>
  <c r="CW156"/>
  <c r="V156" s="1"/>
  <c r="CX156"/>
  <c r="W156" s="1"/>
  <c r="FR156"/>
  <c r="GL156"/>
  <c r="GO156"/>
  <c r="GP156"/>
  <c r="GV156"/>
  <c r="GX156" s="1"/>
  <c r="C157"/>
  <c r="D157"/>
  <c r="I157"/>
  <c r="AC157"/>
  <c r="AE157"/>
  <c r="AF157"/>
  <c r="AG157"/>
  <c r="AH157"/>
  <c r="CV157" s="1"/>
  <c r="U157" s="1"/>
  <c r="AI157"/>
  <c r="AJ157"/>
  <c r="CU157"/>
  <c r="T157" s="1"/>
  <c r="CW157"/>
  <c r="CX157"/>
  <c r="W157" s="1"/>
  <c r="FR157"/>
  <c r="GL157"/>
  <c r="GO157"/>
  <c r="GP157"/>
  <c r="GV157"/>
  <c r="I158"/>
  <c r="AC158"/>
  <c r="AE158"/>
  <c r="AD158" s="1"/>
  <c r="AB158" s="1"/>
  <c r="AF158"/>
  <c r="AG158"/>
  <c r="CU158" s="1"/>
  <c r="T158" s="1"/>
  <c r="AH158"/>
  <c r="AI158"/>
  <c r="AJ158"/>
  <c r="CX158" s="1"/>
  <c r="CQ158"/>
  <c r="P158" s="1"/>
  <c r="CT158"/>
  <c r="S158" s="1"/>
  <c r="CV158"/>
  <c r="CW158"/>
  <c r="V158" s="1"/>
  <c r="FR158"/>
  <c r="GL158"/>
  <c r="GO158"/>
  <c r="GP158"/>
  <c r="GV158"/>
  <c r="GX158"/>
  <c r="AC159"/>
  <c r="AE159"/>
  <c r="AD159" s="1"/>
  <c r="AB159" s="1"/>
  <c r="AF159"/>
  <c r="AG159"/>
  <c r="CU159" s="1"/>
  <c r="T159" s="1"/>
  <c r="AH159"/>
  <c r="CV159" s="1"/>
  <c r="U159" s="1"/>
  <c r="AI159"/>
  <c r="CW159" s="1"/>
  <c r="V159" s="1"/>
  <c r="AJ159"/>
  <c r="CX159" s="1"/>
  <c r="W159" s="1"/>
  <c r="CQ159"/>
  <c r="P159" s="1"/>
  <c r="CT159"/>
  <c r="S159" s="1"/>
  <c r="FR159"/>
  <c r="GL159"/>
  <c r="GO159"/>
  <c r="GP159"/>
  <c r="GV159"/>
  <c r="GX159" s="1"/>
  <c r="C160"/>
  <c r="D160"/>
  <c r="I160"/>
  <c r="AC160"/>
  <c r="AE160"/>
  <c r="AF160"/>
  <c r="AG160"/>
  <c r="CU160" s="1"/>
  <c r="T160" s="1"/>
  <c r="AH160"/>
  <c r="AI160"/>
  <c r="CW160" s="1"/>
  <c r="V160" s="1"/>
  <c r="AJ160"/>
  <c r="CQ160"/>
  <c r="P160" s="1"/>
  <c r="CT160"/>
  <c r="CV160"/>
  <c r="U160" s="1"/>
  <c r="CX160"/>
  <c r="W160" s="1"/>
  <c r="FR160"/>
  <c r="GL160"/>
  <c r="GO160"/>
  <c r="GP160"/>
  <c r="GV160"/>
  <c r="GX160" s="1"/>
  <c r="C161"/>
  <c r="D161"/>
  <c r="I161"/>
  <c r="AC161"/>
  <c r="AE161"/>
  <c r="AD161" s="1"/>
  <c r="AF161"/>
  <c r="AG161"/>
  <c r="AH161"/>
  <c r="AI161"/>
  <c r="CW161" s="1"/>
  <c r="V161" s="1"/>
  <c r="AJ161"/>
  <c r="CQ161"/>
  <c r="P161" s="1"/>
  <c r="CU161"/>
  <c r="CV161"/>
  <c r="U161" s="1"/>
  <c r="CX161"/>
  <c r="W161" s="1"/>
  <c r="FR161"/>
  <c r="GL161"/>
  <c r="GO161"/>
  <c r="GP161"/>
  <c r="GV161"/>
  <c r="GX161"/>
  <c r="C162"/>
  <c r="D162"/>
  <c r="I162"/>
  <c r="AC162"/>
  <c r="AE162"/>
  <c r="AF162"/>
  <c r="AG162"/>
  <c r="AH162"/>
  <c r="CV162" s="1"/>
  <c r="U162" s="1"/>
  <c r="AI162"/>
  <c r="CW162" s="1"/>
  <c r="V162" s="1"/>
  <c r="AJ162"/>
  <c r="CS162"/>
  <c r="R162" s="1"/>
  <c r="CU162"/>
  <c r="T162" s="1"/>
  <c r="CX162"/>
  <c r="W162" s="1"/>
  <c r="FR162"/>
  <c r="GL162"/>
  <c r="GO162"/>
  <c r="GP162"/>
  <c r="GV162"/>
  <c r="GX162"/>
  <c r="AC163"/>
  <c r="AE163"/>
  <c r="CS163" s="1"/>
  <c r="AF163"/>
  <c r="AG163"/>
  <c r="AH163"/>
  <c r="CV163" s="1"/>
  <c r="AI163"/>
  <c r="CW163" s="1"/>
  <c r="AJ163"/>
  <c r="CX163" s="1"/>
  <c r="CQ163"/>
  <c r="CT163"/>
  <c r="CU163"/>
  <c r="FR163"/>
  <c r="GL163"/>
  <c r="GO163"/>
  <c r="GP163"/>
  <c r="GV163"/>
  <c r="AC164"/>
  <c r="AE164"/>
  <c r="CS164" s="1"/>
  <c r="R164" s="1"/>
  <c r="GK164" s="1"/>
  <c r="AF164"/>
  <c r="AG164"/>
  <c r="AH164"/>
  <c r="CV164" s="1"/>
  <c r="U164" s="1"/>
  <c r="AI164"/>
  <c r="AJ164"/>
  <c r="CX164" s="1"/>
  <c r="W164" s="1"/>
  <c r="CT164"/>
  <c r="S164" s="1"/>
  <c r="CU164"/>
  <c r="T164" s="1"/>
  <c r="CW164"/>
  <c r="V164" s="1"/>
  <c r="FR164"/>
  <c r="GL164"/>
  <c r="GO164"/>
  <c r="GP164"/>
  <c r="GV164"/>
  <c r="GX164" s="1"/>
  <c r="C165"/>
  <c r="D165"/>
  <c r="I165"/>
  <c r="AC165"/>
  <c r="AE165"/>
  <c r="CS165" s="1"/>
  <c r="AF165"/>
  <c r="AG165"/>
  <c r="CU165" s="1"/>
  <c r="AH165"/>
  <c r="AI165"/>
  <c r="AJ165"/>
  <c r="CX165" s="1"/>
  <c r="W165" s="1"/>
  <c r="CV165"/>
  <c r="U165" s="1"/>
  <c r="CW165"/>
  <c r="FR165"/>
  <c r="GL165"/>
  <c r="GO165"/>
  <c r="GP165"/>
  <c r="GV165"/>
  <c r="GX165" s="1"/>
  <c r="C166"/>
  <c r="D166"/>
  <c r="I166"/>
  <c r="AC166"/>
  <c r="AD166"/>
  <c r="AE166"/>
  <c r="AF166"/>
  <c r="AG166"/>
  <c r="CU166" s="1"/>
  <c r="T166" s="1"/>
  <c r="AH166"/>
  <c r="AI166"/>
  <c r="AJ166"/>
  <c r="CX166" s="1"/>
  <c r="W166" s="1"/>
  <c r="CQ166"/>
  <c r="P166" s="1"/>
  <c r="CS166"/>
  <c r="R166" s="1"/>
  <c r="GK166" s="1"/>
  <c r="CV166"/>
  <c r="U166" s="1"/>
  <c r="CW166"/>
  <c r="V166" s="1"/>
  <c r="FR166"/>
  <c r="GL166"/>
  <c r="GO166"/>
  <c r="GP166"/>
  <c r="GV166"/>
  <c r="GX166" s="1"/>
  <c r="C167"/>
  <c r="D167"/>
  <c r="I167"/>
  <c r="AC167"/>
  <c r="AE167"/>
  <c r="AF167"/>
  <c r="AG167"/>
  <c r="CU167" s="1"/>
  <c r="T167" s="1"/>
  <c r="AH167"/>
  <c r="AI167"/>
  <c r="CW167" s="1"/>
  <c r="V167" s="1"/>
  <c r="AJ167"/>
  <c r="CQ167"/>
  <c r="P167" s="1"/>
  <c r="CT167"/>
  <c r="CV167"/>
  <c r="U167" s="1"/>
  <c r="CX167"/>
  <c r="W167" s="1"/>
  <c r="FR167"/>
  <c r="GL167"/>
  <c r="GO167"/>
  <c r="GP167"/>
  <c r="GV167"/>
  <c r="GX167" s="1"/>
  <c r="C168"/>
  <c r="D168"/>
  <c r="I168"/>
  <c r="AC168"/>
  <c r="AD168"/>
  <c r="AE168"/>
  <c r="AF168"/>
  <c r="AG168"/>
  <c r="AH168"/>
  <c r="AI168"/>
  <c r="CW168" s="1"/>
  <c r="AJ168"/>
  <c r="CX168" s="1"/>
  <c r="W168" s="1"/>
  <c r="CQ168"/>
  <c r="CS168"/>
  <c r="R168" s="1"/>
  <c r="CU168"/>
  <c r="CV168"/>
  <c r="U168" s="1"/>
  <c r="FR168"/>
  <c r="GL168"/>
  <c r="GO168"/>
  <c r="GP168"/>
  <c r="GV168"/>
  <c r="GX168" s="1"/>
  <c r="C169"/>
  <c r="D169"/>
  <c r="AC169"/>
  <c r="AD169"/>
  <c r="AE169"/>
  <c r="AF169"/>
  <c r="AG169"/>
  <c r="CU169" s="1"/>
  <c r="T169" s="1"/>
  <c r="AH169"/>
  <c r="AI169"/>
  <c r="AJ169"/>
  <c r="CX169" s="1"/>
  <c r="W169" s="1"/>
  <c r="CQ169"/>
  <c r="P169" s="1"/>
  <c r="CS169"/>
  <c r="R169" s="1"/>
  <c r="GK169" s="1"/>
  <c r="CV169"/>
  <c r="U169" s="1"/>
  <c r="CW169"/>
  <c r="V169" s="1"/>
  <c r="FR169"/>
  <c r="GL169"/>
  <c r="GO169"/>
  <c r="GP169"/>
  <c r="GV169"/>
  <c r="GX169" s="1"/>
  <c r="AC170"/>
  <c r="AD170"/>
  <c r="AB170" s="1"/>
  <c r="AE170"/>
  <c r="AF170"/>
  <c r="AG170"/>
  <c r="CU170" s="1"/>
  <c r="T170" s="1"/>
  <c r="AH170"/>
  <c r="AI170"/>
  <c r="AJ170"/>
  <c r="CX170" s="1"/>
  <c r="W170" s="1"/>
  <c r="CQ170"/>
  <c r="P170" s="1"/>
  <c r="CS170"/>
  <c r="R170" s="1"/>
  <c r="GK170" s="1"/>
  <c r="CV170"/>
  <c r="U170" s="1"/>
  <c r="CW170"/>
  <c r="V170" s="1"/>
  <c r="FR170"/>
  <c r="GL170"/>
  <c r="GO170"/>
  <c r="GP170"/>
  <c r="GV170"/>
  <c r="GX170" s="1"/>
  <c r="C172"/>
  <c r="D172"/>
  <c r="I172"/>
  <c r="AC172"/>
  <c r="AE172"/>
  <c r="AF172"/>
  <c r="AG172"/>
  <c r="CU172" s="1"/>
  <c r="T172" s="1"/>
  <c r="AH172"/>
  <c r="AI172"/>
  <c r="CW172" s="1"/>
  <c r="V172" s="1"/>
  <c r="AJ172"/>
  <c r="CQ172"/>
  <c r="P172" s="1"/>
  <c r="CT172"/>
  <c r="S172" s="1"/>
  <c r="CV172"/>
  <c r="CX172"/>
  <c r="W172" s="1"/>
  <c r="FR172"/>
  <c r="GL172"/>
  <c r="GO172"/>
  <c r="GP172"/>
  <c r="GV172"/>
  <c r="GX172"/>
  <c r="C173"/>
  <c r="D173"/>
  <c r="I173"/>
  <c r="AC173"/>
  <c r="AE173"/>
  <c r="AF173"/>
  <c r="AG173"/>
  <c r="AH173"/>
  <c r="AI173"/>
  <c r="CW173" s="1"/>
  <c r="V173" s="1"/>
  <c r="AJ173"/>
  <c r="CQ173"/>
  <c r="P173" s="1"/>
  <c r="CU173"/>
  <c r="CV173"/>
  <c r="U173" s="1"/>
  <c r="CX173"/>
  <c r="W173" s="1"/>
  <c r="FR173"/>
  <c r="GL173"/>
  <c r="GO173"/>
  <c r="GP173"/>
  <c r="GV173"/>
  <c r="GX173"/>
  <c r="AC174"/>
  <c r="AE174"/>
  <c r="AD174" s="1"/>
  <c r="CR174" s="1"/>
  <c r="AF174"/>
  <c r="AG174"/>
  <c r="CU174" s="1"/>
  <c r="AH174"/>
  <c r="CV174" s="1"/>
  <c r="AI174"/>
  <c r="AJ174"/>
  <c r="CT174"/>
  <c r="CW174"/>
  <c r="CX174"/>
  <c r="FR174"/>
  <c r="GL174"/>
  <c r="GO174"/>
  <c r="GP174"/>
  <c r="GV174"/>
  <c r="AC175"/>
  <c r="AE175"/>
  <c r="AD175" s="1"/>
  <c r="CR175" s="1"/>
  <c r="Q175" s="1"/>
  <c r="AF175"/>
  <c r="AG175"/>
  <c r="AH175"/>
  <c r="CV175" s="1"/>
  <c r="U175" s="1"/>
  <c r="AI175"/>
  <c r="AJ175"/>
  <c r="CU175"/>
  <c r="T175" s="1"/>
  <c r="CW175"/>
  <c r="V175" s="1"/>
  <c r="CX175"/>
  <c r="W175" s="1"/>
  <c r="FR175"/>
  <c r="GL175"/>
  <c r="GO175"/>
  <c r="GP175"/>
  <c r="GV175"/>
  <c r="GX175" s="1"/>
  <c r="AC176"/>
  <c r="AE176"/>
  <c r="AD176" s="1"/>
  <c r="CR176" s="1"/>
  <c r="Q176" s="1"/>
  <c r="AF176"/>
  <c r="AG176"/>
  <c r="CU176" s="1"/>
  <c r="T176" s="1"/>
  <c r="AH176"/>
  <c r="CV176" s="1"/>
  <c r="U176" s="1"/>
  <c r="AI176"/>
  <c r="AJ176"/>
  <c r="CT176"/>
  <c r="S176" s="1"/>
  <c r="CW176"/>
  <c r="V176" s="1"/>
  <c r="CX176"/>
  <c r="W176" s="1"/>
  <c r="FR176"/>
  <c r="GL176"/>
  <c r="GO176"/>
  <c r="GP176"/>
  <c r="GV176"/>
  <c r="GX176" s="1"/>
  <c r="C177"/>
  <c r="D177"/>
  <c r="I177"/>
  <c r="AC177"/>
  <c r="AE177"/>
  <c r="CS177" s="1"/>
  <c r="R177" s="1"/>
  <c r="GK177" s="1"/>
  <c r="AF177"/>
  <c r="AG177"/>
  <c r="AH177"/>
  <c r="CV177" s="1"/>
  <c r="U177" s="1"/>
  <c r="AI177"/>
  <c r="CW177" s="1"/>
  <c r="V177" s="1"/>
  <c r="AJ177"/>
  <c r="CX177" s="1"/>
  <c r="W177" s="1"/>
  <c r="CQ177"/>
  <c r="P177" s="1"/>
  <c r="CT177"/>
  <c r="S177" s="1"/>
  <c r="CU177"/>
  <c r="T177" s="1"/>
  <c r="FR177"/>
  <c r="GL177"/>
  <c r="GO177"/>
  <c r="GP177"/>
  <c r="GV177"/>
  <c r="GX177" s="1"/>
  <c r="C178"/>
  <c r="D178"/>
  <c r="I178"/>
  <c r="U178"/>
  <c r="AC178"/>
  <c r="AE178"/>
  <c r="CS178" s="1"/>
  <c r="R178" s="1"/>
  <c r="GK178" s="1"/>
  <c r="AF178"/>
  <c r="AG178"/>
  <c r="CU178" s="1"/>
  <c r="T178" s="1"/>
  <c r="AH178"/>
  <c r="AI178"/>
  <c r="AJ178"/>
  <c r="CX178" s="1"/>
  <c r="W178" s="1"/>
  <c r="CT178"/>
  <c r="S178" s="1"/>
  <c r="CV178"/>
  <c r="CW178"/>
  <c r="V178" s="1"/>
  <c r="FR178"/>
  <c r="GL178"/>
  <c r="GO178"/>
  <c r="GP178"/>
  <c r="GV178"/>
  <c r="GX178" s="1"/>
  <c r="I179"/>
  <c r="AC179"/>
  <c r="AD179"/>
  <c r="CR179" s="1"/>
  <c r="Q179" s="1"/>
  <c r="AE179"/>
  <c r="AF179"/>
  <c r="AG179"/>
  <c r="AH179"/>
  <c r="AI179"/>
  <c r="CW179" s="1"/>
  <c r="AJ179"/>
  <c r="CX179" s="1"/>
  <c r="W179" s="1"/>
  <c r="CQ179"/>
  <c r="CS179"/>
  <c r="R179" s="1"/>
  <c r="GK179" s="1"/>
  <c r="CU179"/>
  <c r="CV179"/>
  <c r="U179" s="1"/>
  <c r="FR179"/>
  <c r="GL179"/>
  <c r="GO179"/>
  <c r="GP179"/>
  <c r="GV179"/>
  <c r="GX179"/>
  <c r="AC180"/>
  <c r="AE180"/>
  <c r="AD180" s="1"/>
  <c r="CR180" s="1"/>
  <c r="Q180" s="1"/>
  <c r="AF180"/>
  <c r="AG180"/>
  <c r="AH180"/>
  <c r="AI180"/>
  <c r="CW180" s="1"/>
  <c r="V180" s="1"/>
  <c r="AJ180"/>
  <c r="CX180" s="1"/>
  <c r="W180" s="1"/>
  <c r="CQ180"/>
  <c r="P180" s="1"/>
  <c r="CU180"/>
  <c r="T180" s="1"/>
  <c r="CV180"/>
  <c r="U180" s="1"/>
  <c r="FR180"/>
  <c r="GL180"/>
  <c r="GO180"/>
  <c r="GP180"/>
  <c r="GV180"/>
  <c r="GX180" s="1"/>
  <c r="C181"/>
  <c r="D181"/>
  <c r="I181"/>
  <c r="AC181"/>
  <c r="AE181"/>
  <c r="AF181"/>
  <c r="AG181"/>
  <c r="CU181" s="1"/>
  <c r="T181" s="1"/>
  <c r="AH181"/>
  <c r="AI181"/>
  <c r="CW181" s="1"/>
  <c r="V181" s="1"/>
  <c r="AJ181"/>
  <c r="CS181"/>
  <c r="R181" s="1"/>
  <c r="CV181"/>
  <c r="U181" s="1"/>
  <c r="CX181"/>
  <c r="FR181"/>
  <c r="GL181"/>
  <c r="GO181"/>
  <c r="GP181"/>
  <c r="GV181"/>
  <c r="GX181" s="1"/>
  <c r="AC182"/>
  <c r="AE182"/>
  <c r="CS182" s="1"/>
  <c r="AF182"/>
  <c r="AG182"/>
  <c r="AH182"/>
  <c r="CV182" s="1"/>
  <c r="AI182"/>
  <c r="AJ182"/>
  <c r="CX182" s="1"/>
  <c r="CT182"/>
  <c r="CU182"/>
  <c r="CW182"/>
  <c r="FR182"/>
  <c r="GL182"/>
  <c r="GO182"/>
  <c r="GP182"/>
  <c r="GV182"/>
  <c r="AC183"/>
  <c r="AE183"/>
  <c r="CS183" s="1"/>
  <c r="R183" s="1"/>
  <c r="GK183" s="1"/>
  <c r="AF183"/>
  <c r="AG183"/>
  <c r="AH183"/>
  <c r="CV183" s="1"/>
  <c r="U183" s="1"/>
  <c r="AI183"/>
  <c r="CW183" s="1"/>
  <c r="V183" s="1"/>
  <c r="AJ183"/>
  <c r="CX183" s="1"/>
  <c r="W183" s="1"/>
  <c r="CQ183"/>
  <c r="P183" s="1"/>
  <c r="CT183"/>
  <c r="S183" s="1"/>
  <c r="CU183"/>
  <c r="T183" s="1"/>
  <c r="FR183"/>
  <c r="GL183"/>
  <c r="GO183"/>
  <c r="GP183"/>
  <c r="GV183"/>
  <c r="GX183" s="1"/>
  <c r="C184"/>
  <c r="D184"/>
  <c r="AC184"/>
  <c r="AE184"/>
  <c r="AF184"/>
  <c r="AG184"/>
  <c r="AH184"/>
  <c r="CV184" s="1"/>
  <c r="U184" s="1"/>
  <c r="AI184"/>
  <c r="AJ184"/>
  <c r="CS184"/>
  <c r="R184" s="1"/>
  <c r="CU184"/>
  <c r="T184" s="1"/>
  <c r="CW184"/>
  <c r="V184" s="1"/>
  <c r="CX184"/>
  <c r="W184" s="1"/>
  <c r="FR184"/>
  <c r="GL184"/>
  <c r="GO184"/>
  <c r="GP184"/>
  <c r="GV184"/>
  <c r="GX184"/>
  <c r="C185"/>
  <c r="D185"/>
  <c r="AC185"/>
  <c r="AE185"/>
  <c r="AF185"/>
  <c r="AG185"/>
  <c r="CU185" s="1"/>
  <c r="T185" s="1"/>
  <c r="AH185"/>
  <c r="AI185"/>
  <c r="CW185" s="1"/>
  <c r="V185" s="1"/>
  <c r="AJ185"/>
  <c r="CQ185"/>
  <c r="P185" s="1"/>
  <c r="CV185"/>
  <c r="U185" s="1"/>
  <c r="CX185"/>
  <c r="W185" s="1"/>
  <c r="FR185"/>
  <c r="GL185"/>
  <c r="GO185"/>
  <c r="GP185"/>
  <c r="GV185"/>
  <c r="GX185"/>
  <c r="C186"/>
  <c r="D186"/>
  <c r="I186"/>
  <c r="AC186"/>
  <c r="AE186"/>
  <c r="AF186"/>
  <c r="AG186"/>
  <c r="AH186"/>
  <c r="CV186" s="1"/>
  <c r="U186" s="1"/>
  <c r="AI186"/>
  <c r="CW186" s="1"/>
  <c r="V186" s="1"/>
  <c r="AJ186"/>
  <c r="CS186"/>
  <c r="R186" s="1"/>
  <c r="CU186"/>
  <c r="T186" s="1"/>
  <c r="CX186"/>
  <c r="W186" s="1"/>
  <c r="FR186"/>
  <c r="GL186"/>
  <c r="GO186"/>
  <c r="GP186"/>
  <c r="GV186"/>
  <c r="GX186"/>
  <c r="C187"/>
  <c r="D187"/>
  <c r="I187"/>
  <c r="AC187"/>
  <c r="AE187"/>
  <c r="AF187"/>
  <c r="AG187"/>
  <c r="CU187" s="1"/>
  <c r="T187" s="1"/>
  <c r="AH187"/>
  <c r="CV187" s="1"/>
  <c r="U187" s="1"/>
  <c r="AI187"/>
  <c r="CW187" s="1"/>
  <c r="V187" s="1"/>
  <c r="AJ187"/>
  <c r="CS187"/>
  <c r="R187" s="1"/>
  <c r="CX187"/>
  <c r="W187" s="1"/>
  <c r="FR187"/>
  <c r="GL187"/>
  <c r="GO187"/>
  <c r="GP187"/>
  <c r="GV187"/>
  <c r="GX187" s="1"/>
  <c r="C188"/>
  <c r="D188"/>
  <c r="I188"/>
  <c r="AC188"/>
  <c r="AE188"/>
  <c r="AF188"/>
  <c r="AG188"/>
  <c r="AH188"/>
  <c r="CV188" s="1"/>
  <c r="AI188"/>
  <c r="AJ188"/>
  <c r="CU188"/>
  <c r="T188" s="1"/>
  <c r="CW188"/>
  <c r="CX188"/>
  <c r="W188" s="1"/>
  <c r="FR188"/>
  <c r="GL188"/>
  <c r="GO188"/>
  <c r="GP188"/>
  <c r="GV188"/>
  <c r="B190"/>
  <c r="B138" s="1"/>
  <c r="C190"/>
  <c r="C138" s="1"/>
  <c r="D190"/>
  <c r="D138" s="1"/>
  <c r="F190"/>
  <c r="F138" s="1"/>
  <c r="G190"/>
  <c r="BX190"/>
  <c r="BX138" s="1"/>
  <c r="CK190"/>
  <c r="CK138" s="1"/>
  <c r="CL190"/>
  <c r="CL138" s="1"/>
  <c r="B220"/>
  <c r="B22" s="1"/>
  <c r="C220"/>
  <c r="C22" s="1"/>
  <c r="D220"/>
  <c r="D22" s="1"/>
  <c r="F220"/>
  <c r="F22" s="1"/>
  <c r="G220"/>
  <c r="B258"/>
  <c r="B18" s="1"/>
  <c r="C258"/>
  <c r="C18" s="1"/>
  <c r="D258"/>
  <c r="D18" s="1"/>
  <c r="F258"/>
  <c r="F18" s="1"/>
  <c r="G258"/>
  <c r="G18" s="1"/>
  <c r="G22" l="1"/>
  <c r="AG685" i="6"/>
  <c r="A685"/>
  <c r="AG677" i="5"/>
  <c r="G138" i="1"/>
  <c r="A680" i="6"/>
  <c r="AG680"/>
  <c r="AG675" i="5"/>
  <c r="D670" i="6"/>
  <c r="F669"/>
  <c r="C665" i="5"/>
  <c r="E664"/>
  <c r="GK187" i="1"/>
  <c r="L663" i="6"/>
  <c r="K658" i="5"/>
  <c r="AD187" i="1"/>
  <c r="I663" i="6"/>
  <c r="R663" s="1"/>
  <c r="H658" i="5"/>
  <c r="R658" s="1"/>
  <c r="L644" i="6"/>
  <c r="K639" i="5"/>
  <c r="AD185" i="1"/>
  <c r="CS185"/>
  <c r="R185" s="1"/>
  <c r="GK185" s="1"/>
  <c r="M639" i="6"/>
  <c r="M640"/>
  <c r="Q640" s="1"/>
  <c r="L634" i="5"/>
  <c r="L635"/>
  <c r="Q635" s="1"/>
  <c r="L630" i="6"/>
  <c r="K625" i="5"/>
  <c r="M530" i="6"/>
  <c r="Q530" s="1"/>
  <c r="M529"/>
  <c r="L525" i="5"/>
  <c r="Q525" s="1"/>
  <c r="L524"/>
  <c r="M517" i="6"/>
  <c r="M519"/>
  <c r="Q519" s="1"/>
  <c r="L512" i="5"/>
  <c r="L514"/>
  <c r="Q514" s="1"/>
  <c r="M385" i="6"/>
  <c r="Q385" s="1"/>
  <c r="L380" i="5"/>
  <c r="Q380" s="1"/>
  <c r="M384" i="6"/>
  <c r="L379" i="5"/>
  <c r="M324" i="6"/>
  <c r="Q324" s="1"/>
  <c r="L319" i="5"/>
  <c r="Q319" s="1"/>
  <c r="M318" i="6"/>
  <c r="Q318" s="1"/>
  <c r="L313" i="5"/>
  <c r="Q313" s="1"/>
  <c r="M284" i="6"/>
  <c r="Q284" s="1"/>
  <c r="L279" i="5"/>
  <c r="Q279" s="1"/>
  <c r="M269" i="6"/>
  <c r="L264" i="5"/>
  <c r="M270" i="6"/>
  <c r="Q270" s="1"/>
  <c r="L265" i="5"/>
  <c r="Q265" s="1"/>
  <c r="M252" i="6"/>
  <c r="Q252" s="1"/>
  <c r="L247" i="5"/>
  <c r="Q247" s="1"/>
  <c r="L216" i="6"/>
  <c r="K211" i="5"/>
  <c r="M189" i="6"/>
  <c r="Q189" s="1"/>
  <c r="L184" i="5"/>
  <c r="Q184" s="1"/>
  <c r="GK37" i="1"/>
  <c r="L117" i="6"/>
  <c r="K112" i="5"/>
  <c r="M111" i="6"/>
  <c r="L107" i="5"/>
  <c r="Q107" s="1"/>
  <c r="M112" i="6"/>
  <c r="Q112" s="1"/>
  <c r="L106" i="5"/>
  <c r="CD26" i="1"/>
  <c r="AU42"/>
  <c r="M43" i="6"/>
  <c r="M44"/>
  <c r="Q44" s="1"/>
  <c r="L39" i="5"/>
  <c r="Q39" s="1"/>
  <c r="L38"/>
  <c r="S669" i="6"/>
  <c r="I675" s="1"/>
  <c r="I671"/>
  <c r="R671" s="1"/>
  <c r="U669"/>
  <c r="I676" s="1"/>
  <c r="H666" i="5"/>
  <c r="R666" s="1"/>
  <c r="U664"/>
  <c r="H671" s="1"/>
  <c r="S664"/>
  <c r="H670" s="1"/>
  <c r="CT188" i="1"/>
  <c r="S188" s="1"/>
  <c r="CQ188"/>
  <c r="P188" s="1"/>
  <c r="I674" i="6"/>
  <c r="H669" i="5"/>
  <c r="M657" i="6"/>
  <c r="M658"/>
  <c r="Q658" s="1"/>
  <c r="L652" i="5"/>
  <c r="L653"/>
  <c r="Q653" s="1"/>
  <c r="CT186" i="1"/>
  <c r="S186" s="1"/>
  <c r="I651" i="6"/>
  <c r="R651" s="1"/>
  <c r="U649"/>
  <c r="I656" s="1"/>
  <c r="S649"/>
  <c r="I655" s="1"/>
  <c r="H646" i="5"/>
  <c r="R646" s="1"/>
  <c r="U644"/>
  <c r="H651" s="1"/>
  <c r="S644"/>
  <c r="H650" s="1"/>
  <c r="I654" i="6"/>
  <c r="H649" i="5"/>
  <c r="AB185" i="1"/>
  <c r="I644" i="6"/>
  <c r="H639" i="5"/>
  <c r="L600" i="6"/>
  <c r="K595" i="5"/>
  <c r="CR161" i="1"/>
  <c r="Q161" s="1"/>
  <c r="I503" i="6"/>
  <c r="H498" i="5"/>
  <c r="M392" i="6"/>
  <c r="Q392" s="1"/>
  <c r="M391"/>
  <c r="L387" i="5"/>
  <c r="Q387" s="1"/>
  <c r="L386"/>
  <c r="M353" i="6"/>
  <c r="Q353" s="1"/>
  <c r="L348" i="5"/>
  <c r="Q348" s="1"/>
  <c r="M352" i="6"/>
  <c r="L347" i="5"/>
  <c r="V325" i="6"/>
  <c r="V320" i="5"/>
  <c r="V322" i="6"/>
  <c r="V317" i="5"/>
  <c r="V319" i="6"/>
  <c r="V314" i="5"/>
  <c r="V316" i="6"/>
  <c r="V311" i="5"/>
  <c r="L292" i="6"/>
  <c r="K287" i="5"/>
  <c r="V280"/>
  <c r="V285" i="6"/>
  <c r="V282"/>
  <c r="V277" i="5"/>
  <c r="M281" i="6"/>
  <c r="Q281" s="1"/>
  <c r="L276" i="5"/>
  <c r="Q276" s="1"/>
  <c r="M279" i="6"/>
  <c r="L274" i="5"/>
  <c r="GK90" i="1"/>
  <c r="L257" i="6"/>
  <c r="K252" i="5"/>
  <c r="L238" i="6"/>
  <c r="K233" i="5"/>
  <c r="K200"/>
  <c r="L205" i="6"/>
  <c r="GK80" i="1"/>
  <c r="L194" i="6"/>
  <c r="K189" i="5"/>
  <c r="L159" i="6"/>
  <c r="K154" i="5"/>
  <c r="L106" i="6"/>
  <c r="K101" i="5"/>
  <c r="CZ34" i="1"/>
  <c r="Y34" s="1"/>
  <c r="L91" i="6"/>
  <c r="K86" i="5"/>
  <c r="M60" i="6"/>
  <c r="M61"/>
  <c r="Q61" s="1"/>
  <c r="L55" i="5"/>
  <c r="L56"/>
  <c r="Q56" s="1"/>
  <c r="U188" i="1"/>
  <c r="BZ190"/>
  <c r="AQ190" s="1"/>
  <c r="CT184"/>
  <c r="S184" s="1"/>
  <c r="U632" i="6"/>
  <c r="I638" s="1"/>
  <c r="I633"/>
  <c r="R633" s="1"/>
  <c r="S632"/>
  <c r="I637" s="1"/>
  <c r="H628" i="5"/>
  <c r="R628" s="1"/>
  <c r="S627"/>
  <c r="H632" s="1"/>
  <c r="U627"/>
  <c r="H633" s="1"/>
  <c r="M628" i="6"/>
  <c r="Q628" s="1"/>
  <c r="M626"/>
  <c r="L621" i="5"/>
  <c r="L623"/>
  <c r="Q623" s="1"/>
  <c r="D619" i="6"/>
  <c r="F618"/>
  <c r="C614" i="5"/>
  <c r="E613"/>
  <c r="L616" i="6"/>
  <c r="K611" i="5"/>
  <c r="AB180" i="1"/>
  <c r="H617" i="6"/>
  <c r="I616"/>
  <c r="G612" i="5"/>
  <c r="O612" s="1"/>
  <c r="H611"/>
  <c r="CQ175" i="1"/>
  <c r="P175" s="1"/>
  <c r="H592" i="6"/>
  <c r="O592" s="1"/>
  <c r="I591"/>
  <c r="G587" i="5"/>
  <c r="W587" s="1"/>
  <c r="H586"/>
  <c r="I583" i="6"/>
  <c r="R583" s="1"/>
  <c r="H578" i="5"/>
  <c r="R578" s="1"/>
  <c r="L572" i="6"/>
  <c r="K567" i="5"/>
  <c r="I574" i="6"/>
  <c r="R574" s="1"/>
  <c r="H569" i="5"/>
  <c r="R569" s="1"/>
  <c r="D571" i="6"/>
  <c r="F570"/>
  <c r="C566" i="5"/>
  <c r="E565"/>
  <c r="M568" i="6"/>
  <c r="Q568" s="1"/>
  <c r="L563" i="5"/>
  <c r="Q563" s="1"/>
  <c r="M565" i="6"/>
  <c r="Q565" s="1"/>
  <c r="M564"/>
  <c r="L559" i="5"/>
  <c r="L560"/>
  <c r="Q560" s="1"/>
  <c r="U558" i="6"/>
  <c r="I563" s="1"/>
  <c r="I559"/>
  <c r="R559" s="1"/>
  <c r="S558"/>
  <c r="I562" s="1"/>
  <c r="U553" i="5"/>
  <c r="H558" s="1"/>
  <c r="H554"/>
  <c r="R554" s="1"/>
  <c r="S553"/>
  <c r="H557" s="1"/>
  <c r="G560" s="1"/>
  <c r="GK168" i="1"/>
  <c r="L553" i="6"/>
  <c r="K548" i="5"/>
  <c r="CR168" i="1"/>
  <c r="Q168" s="1"/>
  <c r="I552" i="6"/>
  <c r="H547" i="5"/>
  <c r="I533" i="6"/>
  <c r="R533" s="1"/>
  <c r="U531"/>
  <c r="I537" s="1"/>
  <c r="S531"/>
  <c r="I536" s="1"/>
  <c r="H528" i="5"/>
  <c r="R528" s="1"/>
  <c r="U526"/>
  <c r="H532" s="1"/>
  <c r="S526"/>
  <c r="H531" s="1"/>
  <c r="CQ165" i="1"/>
  <c r="P165" s="1"/>
  <c r="I526" i="6"/>
  <c r="H521" i="5"/>
  <c r="M522" i="6"/>
  <c r="Q522" s="1"/>
  <c r="L517" i="5"/>
  <c r="Q517" s="1"/>
  <c r="S520" i="6"/>
  <c r="U520"/>
  <c r="S515" i="5"/>
  <c r="U515"/>
  <c r="CT162" i="1"/>
  <c r="S162" s="1"/>
  <c r="I511" i="6"/>
  <c r="R511" s="1"/>
  <c r="U509"/>
  <c r="S509"/>
  <c r="H506" i="5"/>
  <c r="R506" s="1"/>
  <c r="U504"/>
  <c r="S504"/>
  <c r="L504" i="6"/>
  <c r="K499" i="5"/>
  <c r="L495" i="6"/>
  <c r="K490" i="5"/>
  <c r="AB160" i="1"/>
  <c r="I495" i="6"/>
  <c r="H490" i="5"/>
  <c r="L488" i="6"/>
  <c r="K483" i="5"/>
  <c r="I488" i="6"/>
  <c r="H489"/>
  <c r="W489" s="1"/>
  <c r="H483" i="5"/>
  <c r="G484"/>
  <c r="O484" s="1"/>
  <c r="F485" i="6"/>
  <c r="E480" i="5"/>
  <c r="I478" i="6"/>
  <c r="R478" s="1"/>
  <c r="U476"/>
  <c r="I483" s="1"/>
  <c r="S476"/>
  <c r="H473" i="5"/>
  <c r="R473" s="1"/>
  <c r="U471"/>
  <c r="S471"/>
  <c r="D477" i="6"/>
  <c r="F476"/>
  <c r="C472" i="5"/>
  <c r="E471"/>
  <c r="GK155" i="1"/>
  <c r="L467" i="6"/>
  <c r="GK154" i="1"/>
  <c r="L457" i="6"/>
  <c r="K452" i="5"/>
  <c r="D454" i="6"/>
  <c r="F453"/>
  <c r="M452"/>
  <c r="Q452" s="1"/>
  <c r="M451"/>
  <c r="L447" i="5"/>
  <c r="Q447" s="1"/>
  <c r="CR153" i="1"/>
  <c r="Q153" s="1"/>
  <c r="I446" i="6"/>
  <c r="H441" i="5"/>
  <c r="CS152" i="1"/>
  <c r="R152" s="1"/>
  <c r="I437" i="6"/>
  <c r="R437" s="1"/>
  <c r="H432" i="5"/>
  <c r="R432" s="1"/>
  <c r="D434" i="6"/>
  <c r="F433"/>
  <c r="CS151" i="1"/>
  <c r="R151" s="1"/>
  <c r="I427" i="6"/>
  <c r="R427" s="1"/>
  <c r="H422" i="5"/>
  <c r="R422" s="1"/>
  <c r="D424" i="6"/>
  <c r="F423"/>
  <c r="S413"/>
  <c r="I419" s="1"/>
  <c r="I415"/>
  <c r="R415" s="1"/>
  <c r="U413"/>
  <c r="I420" s="1"/>
  <c r="S408" i="5"/>
  <c r="H414" s="1"/>
  <c r="D404" i="6"/>
  <c r="F403"/>
  <c r="AD147" i="1"/>
  <c r="I397" i="6"/>
  <c r="R397" s="1"/>
  <c r="H392" i="5"/>
  <c r="R392" s="1"/>
  <c r="CX252" i="3"/>
  <c r="D387" i="6"/>
  <c r="F386"/>
  <c r="I381"/>
  <c r="R381" s="1"/>
  <c r="U379"/>
  <c r="I383" s="1"/>
  <c r="H376" i="5"/>
  <c r="R376" s="1"/>
  <c r="U374"/>
  <c r="H378" s="1"/>
  <c r="S379" i="6"/>
  <c r="I382" s="1"/>
  <c r="H385" s="1"/>
  <c r="W385" s="1"/>
  <c r="AD144" i="1"/>
  <c r="I374" i="6"/>
  <c r="R374" s="1"/>
  <c r="H369" i="5"/>
  <c r="R369" s="1"/>
  <c r="CS143" i="1"/>
  <c r="R143" s="1"/>
  <c r="I365" i="6"/>
  <c r="R365" s="1"/>
  <c r="H360" i="5"/>
  <c r="R360" s="1"/>
  <c r="CT142" i="1"/>
  <c r="S142" s="1"/>
  <c r="I356" i="6"/>
  <c r="R356" s="1"/>
  <c r="U354"/>
  <c r="I358" s="1"/>
  <c r="S354"/>
  <c r="I357" s="1"/>
  <c r="H360" s="1"/>
  <c r="O360" s="1"/>
  <c r="H351" i="5"/>
  <c r="R351" s="1"/>
  <c r="U349"/>
  <c r="H353" s="1"/>
  <c r="D355" i="6"/>
  <c r="F354"/>
  <c r="CT141" i="1"/>
  <c r="S141" s="1"/>
  <c r="I347" i="6"/>
  <c r="R347" s="1"/>
  <c r="U345"/>
  <c r="I351" s="1"/>
  <c r="H342" i="5"/>
  <c r="R342" s="1"/>
  <c r="U340"/>
  <c r="H346" s="1"/>
  <c r="S345" i="6"/>
  <c r="I350" s="1"/>
  <c r="H353" s="1"/>
  <c r="W353" s="1"/>
  <c r="G74" i="1"/>
  <c r="AG338" i="6"/>
  <c r="A338"/>
  <c r="A333" i="5"/>
  <c r="K325"/>
  <c r="L330" i="6"/>
  <c r="S328"/>
  <c r="I333" s="1"/>
  <c r="H325" i="5"/>
  <c r="R325" s="1"/>
  <c r="U323"/>
  <c r="H329" s="1"/>
  <c r="I330" i="6"/>
  <c r="R330" s="1"/>
  <c r="U328"/>
  <c r="I334" s="1"/>
  <c r="M327"/>
  <c r="Q327" s="1"/>
  <c r="L322" i="5"/>
  <c r="Q322" s="1"/>
  <c r="U322" i="6"/>
  <c r="U317" i="5"/>
  <c r="S322" i="6"/>
  <c r="U316"/>
  <c r="U311" i="5"/>
  <c r="S316" i="6"/>
  <c r="L311"/>
  <c r="K306" i="5"/>
  <c r="CR96" i="1"/>
  <c r="Q96" s="1"/>
  <c r="I291" i="6"/>
  <c r="M287"/>
  <c r="Q287" s="1"/>
  <c r="L282" i="5"/>
  <c r="Q282" s="1"/>
  <c r="I283" i="6"/>
  <c r="I276"/>
  <c r="H271" i="5"/>
  <c r="CR91" i="1"/>
  <c r="Q91" s="1"/>
  <c r="H260" i="5"/>
  <c r="I265" i="6"/>
  <c r="M261"/>
  <c r="Q261" s="1"/>
  <c r="M260"/>
  <c r="L255" i="5"/>
  <c r="I255" i="6"/>
  <c r="R255" s="1"/>
  <c r="U253"/>
  <c r="I259" s="1"/>
  <c r="S253"/>
  <c r="I258" s="1"/>
  <c r="S248" i="5"/>
  <c r="H253" s="1"/>
  <c r="H252" i="6"/>
  <c r="X252" s="1"/>
  <c r="I251"/>
  <c r="H246" i="5"/>
  <c r="M236" i="6"/>
  <c r="Q236" s="1"/>
  <c r="L231" i="5"/>
  <c r="Q231" s="1"/>
  <c r="M235" i="6"/>
  <c r="I232"/>
  <c r="H227" i="5"/>
  <c r="L225" i="6"/>
  <c r="K220" i="5"/>
  <c r="GK81" i="1"/>
  <c r="L204" i="6"/>
  <c r="CR81" i="1"/>
  <c r="Q81" s="1"/>
  <c r="H198" i="5"/>
  <c r="I203" i="6"/>
  <c r="CR80" i="1"/>
  <c r="Q80" s="1"/>
  <c r="I193" i="6"/>
  <c r="I188"/>
  <c r="G184" i="5"/>
  <c r="O184" s="1"/>
  <c r="H189" i="6"/>
  <c r="W189" s="1"/>
  <c r="GX78" i="1"/>
  <c r="D178" i="6"/>
  <c r="F177"/>
  <c r="C173" i="5"/>
  <c r="E172"/>
  <c r="M175" i="6"/>
  <c r="L170" i="5"/>
  <c r="M176" i="6"/>
  <c r="Q176" s="1"/>
  <c r="M166"/>
  <c r="Q166" s="1"/>
  <c r="L161" i="5"/>
  <c r="Q161" s="1"/>
  <c r="M165" i="6"/>
  <c r="I162"/>
  <c r="H157" i="5"/>
  <c r="M149" i="6"/>
  <c r="Q149" s="1"/>
  <c r="L143" i="5"/>
  <c r="M148" i="6"/>
  <c r="I135"/>
  <c r="R135" s="1"/>
  <c r="H130" i="5"/>
  <c r="R130" s="1"/>
  <c r="I124" i="6"/>
  <c r="R124" s="1"/>
  <c r="U122"/>
  <c r="I128" s="1"/>
  <c r="S122"/>
  <c r="I127" s="1"/>
  <c r="H119" i="5"/>
  <c r="R119" s="1"/>
  <c r="U117"/>
  <c r="H123" s="1"/>
  <c r="CR37" i="1"/>
  <c r="Q37" s="1"/>
  <c r="I116" i="6"/>
  <c r="AB35" i="1"/>
  <c r="H94" i="5"/>
  <c r="I99" i="6"/>
  <c r="CT33" i="1"/>
  <c r="S33" s="1"/>
  <c r="S80" i="6"/>
  <c r="I85" s="1"/>
  <c r="I82"/>
  <c r="R82" s="1"/>
  <c r="U80"/>
  <c r="I86" s="1"/>
  <c r="S75" i="5"/>
  <c r="H80" s="1"/>
  <c r="GK31" i="1"/>
  <c r="L66" i="6"/>
  <c r="CT30" i="1"/>
  <c r="S30" s="1"/>
  <c r="U53" i="6"/>
  <c r="I59" s="1"/>
  <c r="H49" i="5"/>
  <c r="R49" s="1"/>
  <c r="S48"/>
  <c r="H53" s="1"/>
  <c r="I54" i="6"/>
  <c r="R54" s="1"/>
  <c r="S53"/>
  <c r="I58" s="1"/>
  <c r="H61" s="1"/>
  <c r="CC190" i="1"/>
  <c r="AT190" s="1"/>
  <c r="AB87"/>
  <c r="BC42"/>
  <c r="AB37"/>
  <c r="U84" i="5"/>
  <c r="H88" s="1"/>
  <c r="E117"/>
  <c r="S117"/>
  <c r="H122" s="1"/>
  <c r="U136"/>
  <c r="H142" s="1"/>
  <c r="K138"/>
  <c r="U152"/>
  <c r="H159" s="1"/>
  <c r="L160"/>
  <c r="L171"/>
  <c r="Q171" s="1"/>
  <c r="U172"/>
  <c r="H179" s="1"/>
  <c r="H174"/>
  <c r="R174" s="1"/>
  <c r="U195"/>
  <c r="K199"/>
  <c r="S206"/>
  <c r="CQ184" i="1"/>
  <c r="P184" s="1"/>
  <c r="I636" i="6"/>
  <c r="H631" i="5"/>
  <c r="GK181" i="1"/>
  <c r="L622" i="6"/>
  <c r="K617" i="5"/>
  <c r="AD181" i="1"/>
  <c r="I622" i="6"/>
  <c r="R622" s="1"/>
  <c r="H617" i="5"/>
  <c r="R617" s="1"/>
  <c r="CT179" i="1"/>
  <c r="S179" s="1"/>
  <c r="U613" i="6"/>
  <c r="S613"/>
  <c r="U608" i="5"/>
  <c r="S608"/>
  <c r="T179" i="1"/>
  <c r="F613" i="6"/>
  <c r="E608" i="5"/>
  <c r="L607" i="6"/>
  <c r="K602" i="5"/>
  <c r="M614" i="6"/>
  <c r="Q614" s="1"/>
  <c r="M612"/>
  <c r="L609" i="5"/>
  <c r="Q609" s="1"/>
  <c r="L607"/>
  <c r="M592" i="6"/>
  <c r="Q592" s="1"/>
  <c r="L587" i="5"/>
  <c r="Q587" s="1"/>
  <c r="U590" i="6"/>
  <c r="S590"/>
  <c r="U585" i="5"/>
  <c r="S585"/>
  <c r="L584" i="6"/>
  <c r="K579" i="5"/>
  <c r="I584" i="6"/>
  <c r="H579" i="5"/>
  <c r="U566" i="6"/>
  <c r="S566"/>
  <c r="S561" i="5"/>
  <c r="U561"/>
  <c r="AB169" i="1"/>
  <c r="I560" i="6"/>
  <c r="H555" i="5"/>
  <c r="M557" i="6"/>
  <c r="Q557" s="1"/>
  <c r="M556"/>
  <c r="L552" i="5"/>
  <c r="Q552" s="1"/>
  <c r="L551"/>
  <c r="CT168" i="1"/>
  <c r="S168" s="1"/>
  <c r="S549" i="6"/>
  <c r="I554" s="1"/>
  <c r="I551"/>
  <c r="R551" s="1"/>
  <c r="U549"/>
  <c r="I555" s="1"/>
  <c r="H546" i="5"/>
  <c r="R546" s="1"/>
  <c r="U544"/>
  <c r="H550" s="1"/>
  <c r="S544"/>
  <c r="H549" s="1"/>
  <c r="T168" i="1"/>
  <c r="D550" i="6"/>
  <c r="F549"/>
  <c r="C545" i="5"/>
  <c r="E544"/>
  <c r="M547" i="6"/>
  <c r="M548"/>
  <c r="Q548" s="1"/>
  <c r="L543" i="5"/>
  <c r="Q543" s="1"/>
  <c r="L542"/>
  <c r="CS167" i="1"/>
  <c r="R167" s="1"/>
  <c r="I544" i="6"/>
  <c r="R544" s="1"/>
  <c r="H539" i="5"/>
  <c r="R539" s="1"/>
  <c r="D541" i="6"/>
  <c r="F540"/>
  <c r="C536" i="5"/>
  <c r="E535"/>
  <c r="M538" i="6"/>
  <c r="M539"/>
  <c r="Q539" s="1"/>
  <c r="L534" i="5"/>
  <c r="Q534" s="1"/>
  <c r="L533"/>
  <c r="AB166" i="1"/>
  <c r="I534" i="6"/>
  <c r="H529" i="5"/>
  <c r="S523" i="6"/>
  <c r="I527" s="1"/>
  <c r="I525"/>
  <c r="R525" s="1"/>
  <c r="U523"/>
  <c r="I528" s="1"/>
  <c r="S518" i="5"/>
  <c r="H522" s="1"/>
  <c r="H520"/>
  <c r="R520" s="1"/>
  <c r="U518"/>
  <c r="H523" s="1"/>
  <c r="D524" i="6"/>
  <c r="F523"/>
  <c r="C519" i="5"/>
  <c r="E518"/>
  <c r="I521" i="6"/>
  <c r="H522"/>
  <c r="O522" s="1"/>
  <c r="H516" i="5"/>
  <c r="G517"/>
  <c r="W517" s="1"/>
  <c r="I514" i="6"/>
  <c r="H509" i="5"/>
  <c r="AB161" i="1"/>
  <c r="I504" i="6"/>
  <c r="H499" i="5"/>
  <c r="M498" i="6"/>
  <c r="M499"/>
  <c r="Q499" s="1"/>
  <c r="L494" i="5"/>
  <c r="Q494" s="1"/>
  <c r="L493"/>
  <c r="CS160" i="1"/>
  <c r="R160" s="1"/>
  <c r="I494" i="6"/>
  <c r="R494" s="1"/>
  <c r="H489" i="5"/>
  <c r="R489" s="1"/>
  <c r="D491" i="6"/>
  <c r="F490"/>
  <c r="C486" i="5"/>
  <c r="E485"/>
  <c r="AA485" i="6"/>
  <c r="I485"/>
  <c r="AA480" i="5"/>
  <c r="H480"/>
  <c r="M484" i="6"/>
  <c r="M486"/>
  <c r="Q486" s="1"/>
  <c r="L479" i="5"/>
  <c r="L481"/>
  <c r="Q481" s="1"/>
  <c r="CQ157" i="1"/>
  <c r="P157" s="1"/>
  <c r="I481" i="6"/>
  <c r="H476" i="5"/>
  <c r="AD155" i="1"/>
  <c r="I467" i="6"/>
  <c r="R467" s="1"/>
  <c r="AD154" i="1"/>
  <c r="I457" i="6"/>
  <c r="R457" s="1"/>
  <c r="H452" i="5"/>
  <c r="R452" s="1"/>
  <c r="GK153" i="1"/>
  <c r="L447" i="6"/>
  <c r="CT153" i="1"/>
  <c r="S153" s="1"/>
  <c r="S443" i="6"/>
  <c r="I449" s="1"/>
  <c r="I445"/>
  <c r="R445" s="1"/>
  <c r="U443"/>
  <c r="I450" s="1"/>
  <c r="S438" i="5"/>
  <c r="H444" s="1"/>
  <c r="M441" i="6"/>
  <c r="M442"/>
  <c r="Q442" s="1"/>
  <c r="L436" i="5"/>
  <c r="I438" i="6"/>
  <c r="M422"/>
  <c r="Q422" s="1"/>
  <c r="M421"/>
  <c r="L417" i="5"/>
  <c r="Q417" s="1"/>
  <c r="CQ150" i="1"/>
  <c r="P150" s="1"/>
  <c r="I418" i="6"/>
  <c r="H413" i="5"/>
  <c r="CS149" i="1"/>
  <c r="R149" s="1"/>
  <c r="I407" i="6"/>
  <c r="R407" s="1"/>
  <c r="H402" i="5"/>
  <c r="R402" s="1"/>
  <c r="L388" i="6"/>
  <c r="K383" i="5"/>
  <c r="I388" i="6"/>
  <c r="R388" s="1"/>
  <c r="U386"/>
  <c r="I390" s="1"/>
  <c r="S386"/>
  <c r="I389" s="1"/>
  <c r="H383" i="5"/>
  <c r="R383" s="1"/>
  <c r="U381"/>
  <c r="H385" s="1"/>
  <c r="D371" i="6"/>
  <c r="F370"/>
  <c r="CR141" i="1"/>
  <c r="Q141" s="1"/>
  <c r="I348" i="6"/>
  <c r="M335"/>
  <c r="M336"/>
  <c r="Q336" s="1"/>
  <c r="L331" i="5"/>
  <c r="Q331" s="1"/>
  <c r="H327"/>
  <c r="I332" i="6"/>
  <c r="H324"/>
  <c r="O324" s="1"/>
  <c r="I323"/>
  <c r="M321"/>
  <c r="Q321" s="1"/>
  <c r="L316" i="5"/>
  <c r="Q316" s="1"/>
  <c r="G313"/>
  <c r="O313" s="1"/>
  <c r="I317" i="6"/>
  <c r="M315"/>
  <c r="Q315" s="1"/>
  <c r="M314"/>
  <c r="L310" i="5"/>
  <c r="Q310" s="1"/>
  <c r="CR97" i="1"/>
  <c r="Q97" s="1"/>
  <c r="I299" i="6"/>
  <c r="H294" i="5"/>
  <c r="U282" i="6"/>
  <c r="U277" i="5"/>
  <c r="S282" i="6"/>
  <c r="S280"/>
  <c r="GK92" i="1"/>
  <c r="L275" i="6"/>
  <c r="CT92" i="1"/>
  <c r="S92" s="1"/>
  <c r="S271" i="6"/>
  <c r="S266" i="5"/>
  <c r="I273" i="6"/>
  <c r="R273" s="1"/>
  <c r="U271"/>
  <c r="GK91" i="1"/>
  <c r="L266" i="6"/>
  <c r="I264"/>
  <c r="R264" s="1"/>
  <c r="U262"/>
  <c r="I268" s="1"/>
  <c r="S257" i="5"/>
  <c r="H262" s="1"/>
  <c r="S262" i="6"/>
  <c r="I267" s="1"/>
  <c r="H270" s="1"/>
  <c r="W270" s="1"/>
  <c r="CX176" i="3"/>
  <c r="C258" i="5"/>
  <c r="E257"/>
  <c r="D263" i="6"/>
  <c r="F262"/>
  <c r="CR90" i="1"/>
  <c r="Q90" s="1"/>
  <c r="I256" i="6"/>
  <c r="H251" i="5"/>
  <c r="CX160" i="3"/>
  <c r="D254" i="6"/>
  <c r="F253"/>
  <c r="C249" i="5"/>
  <c r="E248"/>
  <c r="CT89" i="1"/>
  <c r="S89" s="1"/>
  <c r="CY89" s="1"/>
  <c r="X89" s="1"/>
  <c r="U250" i="6"/>
  <c r="S250"/>
  <c r="S245" i="5"/>
  <c r="S240" i="6"/>
  <c r="I246" s="1"/>
  <c r="H237" i="5"/>
  <c r="R237" s="1"/>
  <c r="U235"/>
  <c r="H242" s="1"/>
  <c r="I242" i="6"/>
  <c r="R242" s="1"/>
  <c r="U240"/>
  <c r="I247" s="1"/>
  <c r="S227"/>
  <c r="I233" s="1"/>
  <c r="S222" i="5"/>
  <c r="H228" s="1"/>
  <c r="I229" i="6"/>
  <c r="R229" s="1"/>
  <c r="U227"/>
  <c r="I234" s="1"/>
  <c r="CX144" i="3"/>
  <c r="D228" i="6"/>
  <c r="F227"/>
  <c r="C223" i="5"/>
  <c r="E222"/>
  <c r="M222" i="6"/>
  <c r="M223"/>
  <c r="Q223" s="1"/>
  <c r="L217" i="5"/>
  <c r="I216" i="6"/>
  <c r="R216" s="1"/>
  <c r="U214"/>
  <c r="I221" s="1"/>
  <c r="H211" i="5"/>
  <c r="R211" s="1"/>
  <c r="U209"/>
  <c r="H216" s="1"/>
  <c r="S214" i="6"/>
  <c r="I220" s="1"/>
  <c r="F209"/>
  <c r="E204" i="5"/>
  <c r="M208" i="6"/>
  <c r="M210"/>
  <c r="Q210" s="1"/>
  <c r="L205" i="5"/>
  <c r="Q205" s="1"/>
  <c r="I202" i="6"/>
  <c r="R202" s="1"/>
  <c r="U200"/>
  <c r="I207" s="1"/>
  <c r="S195" i="5"/>
  <c r="S200" i="6"/>
  <c r="I206" s="1"/>
  <c r="H210" s="1"/>
  <c r="W210" s="1"/>
  <c r="CX120" i="3"/>
  <c r="C196" i="5"/>
  <c r="E195"/>
  <c r="D201" i="6"/>
  <c r="F200"/>
  <c r="M199"/>
  <c r="Q199" s="1"/>
  <c r="M198"/>
  <c r="L193" i="5"/>
  <c r="S190" i="6"/>
  <c r="I196" s="1"/>
  <c r="I192"/>
  <c r="R192" s="1"/>
  <c r="U190"/>
  <c r="I197" s="1"/>
  <c r="H187" i="5"/>
  <c r="R187" s="1"/>
  <c r="U185"/>
  <c r="H192" s="1"/>
  <c r="CX112" i="3"/>
  <c r="D191" i="6"/>
  <c r="F190"/>
  <c r="CT79" i="1"/>
  <c r="S79" s="1"/>
  <c r="S187" i="6"/>
  <c r="U187"/>
  <c r="U182" i="5"/>
  <c r="AD78" i="1"/>
  <c r="I181" i="6"/>
  <c r="R181" s="1"/>
  <c r="L169"/>
  <c r="K164" i="5"/>
  <c r="I169" i="6"/>
  <c r="R169" s="1"/>
  <c r="U167"/>
  <c r="I174" s="1"/>
  <c r="S167"/>
  <c r="I173" s="1"/>
  <c r="H164" i="5"/>
  <c r="R164" s="1"/>
  <c r="U162"/>
  <c r="H169" s="1"/>
  <c r="S157" i="6"/>
  <c r="I163" s="1"/>
  <c r="H166" s="1"/>
  <c r="W166" s="1"/>
  <c r="S152" i="5"/>
  <c r="H158" s="1"/>
  <c r="I159" i="6"/>
  <c r="R159" s="1"/>
  <c r="U157"/>
  <c r="I164" s="1"/>
  <c r="AD40" i="1"/>
  <c r="I145" i="6"/>
  <c r="R145" s="1"/>
  <c r="AB39" i="1"/>
  <c r="I136" i="6"/>
  <c r="L124"/>
  <c r="K119" i="5"/>
  <c r="CX46" i="3"/>
  <c r="D123" i="6"/>
  <c r="F122"/>
  <c r="M121"/>
  <c r="Q121" s="1"/>
  <c r="L116" i="5"/>
  <c r="Q116" s="1"/>
  <c r="M120" i="6"/>
  <c r="CT37" i="1"/>
  <c r="S37" s="1"/>
  <c r="S113" i="6"/>
  <c r="I118" s="1"/>
  <c r="H110" i="5"/>
  <c r="R110" s="1"/>
  <c r="U108"/>
  <c r="H114" s="1"/>
  <c r="I115" i="6"/>
  <c r="R115" s="1"/>
  <c r="U113"/>
  <c r="I119" s="1"/>
  <c r="CX40" i="3"/>
  <c r="D114" i="6"/>
  <c r="F113"/>
  <c r="S104"/>
  <c r="I109" s="1"/>
  <c r="I106"/>
  <c r="R106" s="1"/>
  <c r="U104"/>
  <c r="I110" s="1"/>
  <c r="H101" i="5"/>
  <c r="R101" s="1"/>
  <c r="U99"/>
  <c r="H105" s="1"/>
  <c r="M102" i="6"/>
  <c r="M103"/>
  <c r="Q103" s="1"/>
  <c r="L98" i="5"/>
  <c r="Q98" s="1"/>
  <c r="I98" i="6"/>
  <c r="R98" s="1"/>
  <c r="U96"/>
  <c r="I101" s="1"/>
  <c r="S91" i="5"/>
  <c r="H95" s="1"/>
  <c r="S96" i="6"/>
  <c r="I100" s="1"/>
  <c r="H103" s="1"/>
  <c r="O103" s="1"/>
  <c r="CX35" i="3"/>
  <c r="C92" i="5"/>
  <c r="E91"/>
  <c r="D97" i="6"/>
  <c r="F96"/>
  <c r="M87"/>
  <c r="L82" i="5"/>
  <c r="M88" i="6"/>
  <c r="Q88" s="1"/>
  <c r="CX30" i="3"/>
  <c r="D81" i="6"/>
  <c r="F80"/>
  <c r="C76" i="5"/>
  <c r="E75"/>
  <c r="AD32" i="1"/>
  <c r="I75" i="6"/>
  <c r="R75" s="1"/>
  <c r="CX24" i="3"/>
  <c r="D63" i="6"/>
  <c r="F62"/>
  <c r="C58" i="5"/>
  <c r="E57"/>
  <c r="GK30" i="1"/>
  <c r="L56" i="6"/>
  <c r="K51" i="5"/>
  <c r="AB30" i="1"/>
  <c r="I55" i="6"/>
  <c r="I38"/>
  <c r="R38" s="1"/>
  <c r="S37"/>
  <c r="I41" s="1"/>
  <c r="H33" i="5"/>
  <c r="R33" s="1"/>
  <c r="S32"/>
  <c r="H36" s="1"/>
  <c r="U37" i="6"/>
  <c r="I42" s="1"/>
  <c r="AD188" i="1"/>
  <c r="I673" i="6"/>
  <c r="R673" s="1"/>
  <c r="H668" i="5"/>
  <c r="R668" s="1"/>
  <c r="M667" i="6"/>
  <c r="M668"/>
  <c r="Q668" s="1"/>
  <c r="L663" i="5"/>
  <c r="Q663" s="1"/>
  <c r="L662"/>
  <c r="CT187" i="1"/>
  <c r="S187" s="1"/>
  <c r="S659" i="6"/>
  <c r="I665" s="1"/>
  <c r="I661"/>
  <c r="R661" s="1"/>
  <c r="U659"/>
  <c r="I666" s="1"/>
  <c r="S654" i="5"/>
  <c r="H660" s="1"/>
  <c r="H656"/>
  <c r="R656" s="1"/>
  <c r="U654"/>
  <c r="H661" s="1"/>
  <c r="CQ187" i="1"/>
  <c r="P187" s="1"/>
  <c r="I664" i="6"/>
  <c r="H659" i="5"/>
  <c r="D660" i="6"/>
  <c r="F659"/>
  <c r="C655" i="5"/>
  <c r="E654"/>
  <c r="GK186" i="1"/>
  <c r="L653" i="6"/>
  <c r="K648" i="5"/>
  <c r="AD186" i="1"/>
  <c r="I653" i="6"/>
  <c r="R653" s="1"/>
  <c r="H648" i="5"/>
  <c r="R648" s="1"/>
  <c r="D650" i="6"/>
  <c r="F649"/>
  <c r="C645" i="5"/>
  <c r="E644"/>
  <c r="M648" i="6"/>
  <c r="Q648" s="1"/>
  <c r="M647"/>
  <c r="L643" i="5"/>
  <c r="Q643" s="1"/>
  <c r="L642"/>
  <c r="CT185" i="1"/>
  <c r="S185" s="1"/>
  <c r="I642" i="6"/>
  <c r="R642" s="1"/>
  <c r="S641"/>
  <c r="I645" s="1"/>
  <c r="H648" s="1"/>
  <c r="O648" s="1"/>
  <c r="U641"/>
  <c r="I646" s="1"/>
  <c r="H637" i="5"/>
  <c r="R637" s="1"/>
  <c r="S636"/>
  <c r="H640" s="1"/>
  <c r="U636"/>
  <c r="H641" s="1"/>
  <c r="GK184" i="1"/>
  <c r="L635" i="6"/>
  <c r="K630" i="5"/>
  <c r="AD184" i="1"/>
  <c r="I635" i="6"/>
  <c r="R635" s="1"/>
  <c r="H630" i="5"/>
  <c r="R630" s="1"/>
  <c r="M631" i="6"/>
  <c r="Q631" s="1"/>
  <c r="L626" i="5"/>
  <c r="Q626" s="1"/>
  <c r="U629" i="6"/>
  <c r="S629"/>
  <c r="S624" i="5"/>
  <c r="U624"/>
  <c r="I630" i="6"/>
  <c r="H625" i="5"/>
  <c r="CT181" i="1"/>
  <c r="S181" s="1"/>
  <c r="S618" i="6"/>
  <c r="I620"/>
  <c r="R620" s="1"/>
  <c r="U618"/>
  <c r="H615" i="5"/>
  <c r="R615" s="1"/>
  <c r="U613"/>
  <c r="S613"/>
  <c r="I623" i="6"/>
  <c r="H618" i="5"/>
  <c r="M617" i="6"/>
  <c r="Q617" s="1"/>
  <c r="L612" i="5"/>
  <c r="Q612" s="1"/>
  <c r="CT180" i="1"/>
  <c r="S180" s="1"/>
  <c r="CY180" s="1"/>
  <c r="X180" s="1"/>
  <c r="U615" i="6"/>
  <c r="S615"/>
  <c r="U610" i="5"/>
  <c r="S610"/>
  <c r="I613" i="6"/>
  <c r="AA613"/>
  <c r="H608" i="5"/>
  <c r="AA608"/>
  <c r="I607" i="6"/>
  <c r="R607" s="1"/>
  <c r="U605"/>
  <c r="I611" s="1"/>
  <c r="S605"/>
  <c r="I610" s="1"/>
  <c r="H602" i="5"/>
  <c r="R602" s="1"/>
  <c r="U600"/>
  <c r="S600"/>
  <c r="H605" s="1"/>
  <c r="CQ178" i="1"/>
  <c r="P178" s="1"/>
  <c r="I609" i="6"/>
  <c r="H604" i="5"/>
  <c r="D606" i="6"/>
  <c r="F605"/>
  <c r="C601" i="5"/>
  <c r="E600"/>
  <c r="L598" i="6"/>
  <c r="K593" i="5"/>
  <c r="M604" i="6"/>
  <c r="Q604" s="1"/>
  <c r="M603"/>
  <c r="L599" i="5"/>
  <c r="Q599" s="1"/>
  <c r="L598"/>
  <c r="I598" i="6"/>
  <c r="R598" s="1"/>
  <c r="U596"/>
  <c r="I602" s="1"/>
  <c r="S596"/>
  <c r="I601" s="1"/>
  <c r="H593" i="5"/>
  <c r="R593" s="1"/>
  <c r="U591"/>
  <c r="H597" s="1"/>
  <c r="S591"/>
  <c r="H596" s="1"/>
  <c r="I600" i="6"/>
  <c r="H595" i="5"/>
  <c r="D597" i="6"/>
  <c r="F596"/>
  <c r="C592" i="5"/>
  <c r="E591"/>
  <c r="M595" i="6"/>
  <c r="Q595" s="1"/>
  <c r="L590" i="5"/>
  <c r="Q590" s="1"/>
  <c r="U593" i="6"/>
  <c r="S593"/>
  <c r="U588" i="5"/>
  <c r="S588"/>
  <c r="CQ176" i="1"/>
  <c r="P176" s="1"/>
  <c r="H595" i="6"/>
  <c r="O595" s="1"/>
  <c r="I594"/>
  <c r="G590" i="5"/>
  <c r="O590" s="1"/>
  <c r="H589"/>
  <c r="CQ174" i="1"/>
  <c r="M589" i="6"/>
  <c r="Q589" s="1"/>
  <c r="M587"/>
  <c r="L584" i="5"/>
  <c r="Q584" s="1"/>
  <c r="L582"/>
  <c r="CT173" i="1"/>
  <c r="S173" s="1"/>
  <c r="S579" i="6"/>
  <c r="I581"/>
  <c r="R581" s="1"/>
  <c r="U579"/>
  <c r="S574" i="5"/>
  <c r="H576"/>
  <c r="R576" s="1"/>
  <c r="U574"/>
  <c r="T173" i="1"/>
  <c r="D580" i="6"/>
  <c r="F579"/>
  <c r="C575" i="5"/>
  <c r="E574"/>
  <c r="I572" i="6"/>
  <c r="R572" s="1"/>
  <c r="U570"/>
  <c r="I576" s="1"/>
  <c r="S570"/>
  <c r="I575" s="1"/>
  <c r="S565" i="5"/>
  <c r="H570" s="1"/>
  <c r="H567"/>
  <c r="R567" s="1"/>
  <c r="U565"/>
  <c r="H571" s="1"/>
  <c r="L567" i="6"/>
  <c r="K562" i="5"/>
  <c r="H568" i="6"/>
  <c r="W568" s="1"/>
  <c r="I567"/>
  <c r="H562" i="5"/>
  <c r="G563"/>
  <c r="O563" s="1"/>
  <c r="L561" i="6"/>
  <c r="K556" i="5"/>
  <c r="I561" i="6"/>
  <c r="H556" i="5"/>
  <c r="I553" i="6"/>
  <c r="R553" s="1"/>
  <c r="H548" i="5"/>
  <c r="R548" s="1"/>
  <c r="S540" i="6"/>
  <c r="I545" s="1"/>
  <c r="I542"/>
  <c r="R542" s="1"/>
  <c r="U540"/>
  <c r="I546" s="1"/>
  <c r="H537" i="5"/>
  <c r="R537" s="1"/>
  <c r="U535"/>
  <c r="H541" s="1"/>
  <c r="S535"/>
  <c r="H540" s="1"/>
  <c r="L535" i="6"/>
  <c r="K530" i="5"/>
  <c r="I535" i="6"/>
  <c r="H530" i="5"/>
  <c r="D532" i="6"/>
  <c r="F531"/>
  <c r="C527" i="5"/>
  <c r="E526"/>
  <c r="S518" i="6"/>
  <c r="S513" i="5"/>
  <c r="GK162" i="1"/>
  <c r="L513" i="6"/>
  <c r="K508" i="5"/>
  <c r="AD162" i="1"/>
  <c r="I513" i="6"/>
  <c r="R513" s="1"/>
  <c r="H508" i="5"/>
  <c r="R508" s="1"/>
  <c r="D510" i="6"/>
  <c r="F509"/>
  <c r="C505" i="5"/>
  <c r="E504"/>
  <c r="M508" i="6"/>
  <c r="Q508" s="1"/>
  <c r="M507"/>
  <c r="L503" i="5"/>
  <c r="Q503" s="1"/>
  <c r="L502"/>
  <c r="CT161" i="1"/>
  <c r="S161" s="1"/>
  <c r="S500" i="6"/>
  <c r="I505" s="1"/>
  <c r="I502"/>
  <c r="R502" s="1"/>
  <c r="U500"/>
  <c r="I506" s="1"/>
  <c r="H497" i="5"/>
  <c r="R497" s="1"/>
  <c r="U495"/>
  <c r="H501" s="1"/>
  <c r="S495"/>
  <c r="H500" s="1"/>
  <c r="G503" s="1"/>
  <c r="T161" i="1"/>
  <c r="D501" i="6"/>
  <c r="F500"/>
  <c r="C496" i="5"/>
  <c r="E495"/>
  <c r="S490" i="6"/>
  <c r="I496" s="1"/>
  <c r="H499" s="1"/>
  <c r="W499" s="1"/>
  <c r="I492"/>
  <c r="R492" s="1"/>
  <c r="U490"/>
  <c r="I497" s="1"/>
  <c r="S485" i="5"/>
  <c r="H491" s="1"/>
  <c r="H487"/>
  <c r="R487" s="1"/>
  <c r="U485"/>
  <c r="H492" s="1"/>
  <c r="M489" i="6"/>
  <c r="Q489" s="1"/>
  <c r="L484" i="5"/>
  <c r="Q484" s="1"/>
  <c r="S487" i="6"/>
  <c r="U487"/>
  <c r="S482" i="5"/>
  <c r="U482"/>
  <c r="S485" i="6"/>
  <c r="U485"/>
  <c r="S480" i="5"/>
  <c r="U480"/>
  <c r="AD157" i="1"/>
  <c r="I480" i="6"/>
  <c r="R480" s="1"/>
  <c r="H475" i="5"/>
  <c r="R475" s="1"/>
  <c r="M475" i="6"/>
  <c r="Q475" s="1"/>
  <c r="L470" i="5"/>
  <c r="Q470" s="1"/>
  <c r="CT156" i="1"/>
  <c r="S156" s="1"/>
  <c r="U473" i="6"/>
  <c r="S473"/>
  <c r="U468" i="5"/>
  <c r="CQ156" i="1"/>
  <c r="P156" s="1"/>
  <c r="H475" i="6"/>
  <c r="O475" s="1"/>
  <c r="I474"/>
  <c r="G470" i="5"/>
  <c r="O470" s="1"/>
  <c r="M472" i="6"/>
  <c r="Q472" s="1"/>
  <c r="M471"/>
  <c r="L467" i="5"/>
  <c r="Q467" s="1"/>
  <c r="CT155" i="1"/>
  <c r="S155" s="1"/>
  <c r="S463" i="6"/>
  <c r="I469" s="1"/>
  <c r="I465"/>
  <c r="R465" s="1"/>
  <c r="U463"/>
  <c r="I470" s="1"/>
  <c r="S458" i="5"/>
  <c r="H464" s="1"/>
  <c r="CQ155" i="1"/>
  <c r="P155" s="1"/>
  <c r="I468" i="6"/>
  <c r="H463" i="5"/>
  <c r="D464" i="6"/>
  <c r="F463"/>
  <c r="C459" i="5"/>
  <c r="E458"/>
  <c r="CT154" i="1"/>
  <c r="S154" s="1"/>
  <c r="I455" i="6"/>
  <c r="R455" s="1"/>
  <c r="U453"/>
  <c r="I460" s="1"/>
  <c r="S453"/>
  <c r="I459" s="1"/>
  <c r="H450" i="5"/>
  <c r="R450" s="1"/>
  <c r="U448"/>
  <c r="H455" s="1"/>
  <c r="AB154" i="1"/>
  <c r="I458" i="6"/>
  <c r="L448"/>
  <c r="K443" i="5"/>
  <c r="AB153" i="1"/>
  <c r="I448" i="6"/>
  <c r="H443" i="5"/>
  <c r="D444" i="6"/>
  <c r="F443"/>
  <c r="C439" i="5"/>
  <c r="E438"/>
  <c r="I435" i="6"/>
  <c r="R435" s="1"/>
  <c r="U433"/>
  <c r="I440" s="1"/>
  <c r="S433"/>
  <c r="I439" s="1"/>
  <c r="H430" i="5"/>
  <c r="R430" s="1"/>
  <c r="U428"/>
  <c r="H435" s="1"/>
  <c r="I425" i="6"/>
  <c r="R425" s="1"/>
  <c r="U423"/>
  <c r="I430" s="1"/>
  <c r="S423"/>
  <c r="I429" s="1"/>
  <c r="H420" i="5"/>
  <c r="R420" s="1"/>
  <c r="U418"/>
  <c r="H425" s="1"/>
  <c r="CS150" i="1"/>
  <c r="R150" s="1"/>
  <c r="I417" i="6"/>
  <c r="R417" s="1"/>
  <c r="D414"/>
  <c r="F413"/>
  <c r="C409" i="5"/>
  <c r="E408"/>
  <c r="CT149" i="1"/>
  <c r="S149" s="1"/>
  <c r="I405" i="6"/>
  <c r="R405" s="1"/>
  <c r="U403"/>
  <c r="I410" s="1"/>
  <c r="S403"/>
  <c r="I409" s="1"/>
  <c r="H412" s="1"/>
  <c r="W412" s="1"/>
  <c r="H400" i="5"/>
  <c r="R400" s="1"/>
  <c r="U398"/>
  <c r="H405" s="1"/>
  <c r="CQ149" i="1"/>
  <c r="P149" s="1"/>
  <c r="I408" i="6"/>
  <c r="M401"/>
  <c r="Q401" s="1"/>
  <c r="L396" i="5"/>
  <c r="Q396" s="1"/>
  <c r="M400" i="6"/>
  <c r="CT147" i="1"/>
  <c r="S147" s="1"/>
  <c r="I395" i="6"/>
  <c r="R395" s="1"/>
  <c r="U393"/>
  <c r="I399" s="1"/>
  <c r="H390" i="5"/>
  <c r="R390" s="1"/>
  <c r="U388"/>
  <c r="H394" s="1"/>
  <c r="S393" i="6"/>
  <c r="I398" s="1"/>
  <c r="D394"/>
  <c r="F393"/>
  <c r="CX251" i="3"/>
  <c r="D380" i="6"/>
  <c r="F379"/>
  <c r="CT144" i="1"/>
  <c r="I372" i="6"/>
  <c r="R372" s="1"/>
  <c r="U370"/>
  <c r="I376" s="1"/>
  <c r="S370"/>
  <c r="I375" s="1"/>
  <c r="H378" s="1"/>
  <c r="O378" s="1"/>
  <c r="H367" i="5"/>
  <c r="R367" s="1"/>
  <c r="U365"/>
  <c r="H371" s="1"/>
  <c r="L363" i="6"/>
  <c r="K358" i="5"/>
  <c r="M369" i="6"/>
  <c r="Q369" s="1"/>
  <c r="L364" i="5"/>
  <c r="Q364" s="1"/>
  <c r="M368" i="6"/>
  <c r="I363"/>
  <c r="R363" s="1"/>
  <c r="U361"/>
  <c r="I367" s="1"/>
  <c r="H358" i="5"/>
  <c r="R358" s="1"/>
  <c r="U356"/>
  <c r="H362" s="1"/>
  <c r="S361" i="6"/>
  <c r="I366" s="1"/>
  <c r="V143" i="1"/>
  <c r="D362" i="6"/>
  <c r="F361"/>
  <c r="CS141" i="1"/>
  <c r="R141" s="1"/>
  <c r="I349" i="6"/>
  <c r="R349" s="1"/>
  <c r="H344" i="5"/>
  <c r="R344" s="1"/>
  <c r="CX240" i="3"/>
  <c r="D346" i="6"/>
  <c r="F345"/>
  <c r="CR104" i="1"/>
  <c r="Q104" s="1"/>
  <c r="I331" i="6"/>
  <c r="CX224" i="3"/>
  <c r="D329" i="6"/>
  <c r="F328"/>
  <c r="U325"/>
  <c r="U320" i="5"/>
  <c r="S325" i="6"/>
  <c r="I326"/>
  <c r="U319"/>
  <c r="U314" i="5"/>
  <c r="S319" i="6"/>
  <c r="I320"/>
  <c r="S308"/>
  <c r="I312" s="1"/>
  <c r="I310"/>
  <c r="R310" s="1"/>
  <c r="U308"/>
  <c r="I313" s="1"/>
  <c r="S303" i="5"/>
  <c r="H307" s="1"/>
  <c r="I311" i="6"/>
  <c r="H306" i="5"/>
  <c r="CX216" i="3"/>
  <c r="D309" i="6"/>
  <c r="F308"/>
  <c r="C304" i="5"/>
  <c r="E303"/>
  <c r="S305" i="6"/>
  <c r="U305"/>
  <c r="S300" i="5"/>
  <c r="AB98" i="1"/>
  <c r="I306" i="6"/>
  <c r="H301" i="5"/>
  <c r="H307" i="6"/>
  <c r="O307" s="1"/>
  <c r="M303"/>
  <c r="L298" i="5"/>
  <c r="M304" i="6"/>
  <c r="Q304" s="1"/>
  <c r="I298"/>
  <c r="R298" s="1"/>
  <c r="S297"/>
  <c r="I301" s="1"/>
  <c r="U297"/>
  <c r="I302" s="1"/>
  <c r="U292" i="5"/>
  <c r="H297" s="1"/>
  <c r="AB97" i="1"/>
  <c r="I300" i="6"/>
  <c r="M295"/>
  <c r="L291" i="5"/>
  <c r="Q291" s="1"/>
  <c r="M296" i="6"/>
  <c r="Q296" s="1"/>
  <c r="L290"/>
  <c r="K285" i="5"/>
  <c r="S288" i="6"/>
  <c r="I293" s="1"/>
  <c r="I290"/>
  <c r="R290" s="1"/>
  <c r="U288"/>
  <c r="I294" s="1"/>
  <c r="H285" i="5"/>
  <c r="R285" s="1"/>
  <c r="U283"/>
  <c r="H289" s="1"/>
  <c r="I292" i="6"/>
  <c r="H287" i="5"/>
  <c r="CX203" i="3"/>
  <c r="D289" i="6"/>
  <c r="F288"/>
  <c r="S285"/>
  <c r="U285"/>
  <c r="U280" i="5"/>
  <c r="I286" i="6"/>
  <c r="H287"/>
  <c r="W287" s="1"/>
  <c r="H275" i="5"/>
  <c r="AD92" i="1"/>
  <c r="I275" i="6"/>
  <c r="R275" s="1"/>
  <c r="D272"/>
  <c r="F271"/>
  <c r="C267" i="5"/>
  <c r="E266"/>
  <c r="AD88" i="1"/>
  <c r="H239" i="5"/>
  <c r="R239" s="1"/>
  <c r="I244" i="6"/>
  <c r="R244" s="1"/>
  <c r="GX88" i="1"/>
  <c r="D241" i="6"/>
  <c r="F240"/>
  <c r="L234" i="5"/>
  <c r="Q234" s="1"/>
  <c r="M239" i="6"/>
  <c r="Q239" s="1"/>
  <c r="S237"/>
  <c r="U232" i="5"/>
  <c r="U237" i="6"/>
  <c r="I238"/>
  <c r="H239"/>
  <c r="W239" s="1"/>
  <c r="G234" i="5"/>
  <c r="W234" s="1"/>
  <c r="AD86" i="1"/>
  <c r="I231" i="6"/>
  <c r="R231" s="1"/>
  <c r="S224"/>
  <c r="S219" i="5"/>
  <c r="U224" i="6"/>
  <c r="I225"/>
  <c r="H220" i="5"/>
  <c r="CS84" i="1"/>
  <c r="R84" s="1"/>
  <c r="I218" i="6"/>
  <c r="R218" s="1"/>
  <c r="H213" i="5"/>
  <c r="R213" s="1"/>
  <c r="CX128" i="3"/>
  <c r="D215" i="6"/>
  <c r="F214"/>
  <c r="M213"/>
  <c r="Q213" s="1"/>
  <c r="L208" i="5"/>
  <c r="Q208" s="1"/>
  <c r="U211" i="6"/>
  <c r="U206" i="5"/>
  <c r="S211" i="6"/>
  <c r="AB83" i="1"/>
  <c r="H213" i="6"/>
  <c r="W213" s="1"/>
  <c r="G208" i="5"/>
  <c r="W208" s="1"/>
  <c r="I212" i="6"/>
  <c r="S209"/>
  <c r="U204" i="5"/>
  <c r="U209" i="6"/>
  <c r="AB82" i="1"/>
  <c r="AA209" i="6"/>
  <c r="I209"/>
  <c r="H204" i="5"/>
  <c r="AB81" i="1"/>
  <c r="H200" i="5"/>
  <c r="I205" i="6"/>
  <c r="I194"/>
  <c r="R194" s="1"/>
  <c r="H189" i="5"/>
  <c r="R189" s="1"/>
  <c r="I179" i="6"/>
  <c r="R179" s="1"/>
  <c r="U177"/>
  <c r="I184" s="1"/>
  <c r="S177"/>
  <c r="I183" s="1"/>
  <c r="S172" i="5"/>
  <c r="H178" s="1"/>
  <c r="G181" s="1"/>
  <c r="O181" s="1"/>
  <c r="I182" i="6"/>
  <c r="H177" i="5"/>
  <c r="AD77" i="1"/>
  <c r="I171" i="6"/>
  <c r="R171" s="1"/>
  <c r="H166" i="5"/>
  <c r="R166" s="1"/>
  <c r="CX96" i="3"/>
  <c r="D168" i="6"/>
  <c r="F167"/>
  <c r="CS76" i="1"/>
  <c r="R76" s="1"/>
  <c r="I161" i="6"/>
  <c r="R161" s="1"/>
  <c r="CX80" i="3"/>
  <c r="D158" i="6"/>
  <c r="F157"/>
  <c r="C153" i="5"/>
  <c r="E152"/>
  <c r="G26" i="1"/>
  <c r="A151" i="6"/>
  <c r="AG146" i="5"/>
  <c r="AG151" i="6"/>
  <c r="I143"/>
  <c r="R143" s="1"/>
  <c r="U141"/>
  <c r="I147" s="1"/>
  <c r="S136" i="5"/>
  <c r="H141" s="1"/>
  <c r="S141" i="6"/>
  <c r="I146" s="1"/>
  <c r="CX64" i="3"/>
  <c r="C137" i="5"/>
  <c r="E136"/>
  <c r="D142" i="6"/>
  <c r="F141"/>
  <c r="M140"/>
  <c r="Q140" s="1"/>
  <c r="M139"/>
  <c r="L134" i="5"/>
  <c r="CT39" i="1"/>
  <c r="S39" s="1"/>
  <c r="I133" i="6"/>
  <c r="R133" s="1"/>
  <c r="U131"/>
  <c r="I138" s="1"/>
  <c r="H128" i="5"/>
  <c r="R128" s="1"/>
  <c r="U126"/>
  <c r="H133" s="1"/>
  <c r="S131" i="6"/>
  <c r="I137" s="1"/>
  <c r="CX48" i="3"/>
  <c r="D132" i="6"/>
  <c r="F131"/>
  <c r="AD38" i="1"/>
  <c r="I126" i="6"/>
  <c r="R126" s="1"/>
  <c r="H121" i="5"/>
  <c r="R121" s="1"/>
  <c r="H112"/>
  <c r="R112" s="1"/>
  <c r="I117" i="6"/>
  <c r="R117" s="1"/>
  <c r="CS36" i="1"/>
  <c r="R36" s="1"/>
  <c r="I108" i="6"/>
  <c r="R108" s="1"/>
  <c r="H103" i="5"/>
  <c r="R103" s="1"/>
  <c r="CX38" i="3"/>
  <c r="D105" i="6"/>
  <c r="F104"/>
  <c r="M95"/>
  <c r="Q95" s="1"/>
  <c r="M94"/>
  <c r="L89" i="5"/>
  <c r="I91" i="6"/>
  <c r="R91" s="1"/>
  <c r="U89"/>
  <c r="I93" s="1"/>
  <c r="S89"/>
  <c r="I92" s="1"/>
  <c r="S84" i="5"/>
  <c r="H87" s="1"/>
  <c r="CX32" i="3"/>
  <c r="D90" i="6"/>
  <c r="F89"/>
  <c r="C85" i="5"/>
  <c r="E84"/>
  <c r="CS33" i="1"/>
  <c r="R33" s="1"/>
  <c r="I84" i="6"/>
  <c r="R84" s="1"/>
  <c r="M78"/>
  <c r="M79"/>
  <c r="Q79" s="1"/>
  <c r="L73" i="5"/>
  <c r="S71" i="6"/>
  <c r="I76" s="1"/>
  <c r="S66" i="5"/>
  <c r="H71" s="1"/>
  <c r="I73" i="6"/>
  <c r="R73" s="1"/>
  <c r="U71"/>
  <c r="I77" s="1"/>
  <c r="CX27" i="3"/>
  <c r="D72" i="6"/>
  <c r="F71"/>
  <c r="C67" i="5"/>
  <c r="E66"/>
  <c r="CT31" i="1"/>
  <c r="S31" s="1"/>
  <c r="S62" i="6"/>
  <c r="I67" s="1"/>
  <c r="I64"/>
  <c r="R64" s="1"/>
  <c r="U62"/>
  <c r="I68" s="1"/>
  <c r="S57" i="5"/>
  <c r="H62" s="1"/>
  <c r="I56" i="6"/>
  <c r="R56" s="1"/>
  <c r="H51" i="5"/>
  <c r="R51" s="1"/>
  <c r="M52" i="6"/>
  <c r="Q52" s="1"/>
  <c r="M51"/>
  <c r="L46" i="5"/>
  <c r="CT29" i="1"/>
  <c r="S29" s="1"/>
  <c r="I46" i="6"/>
  <c r="R46" s="1"/>
  <c r="S45"/>
  <c r="I49" s="1"/>
  <c r="U40" i="5"/>
  <c r="H45" s="1"/>
  <c r="U45" i="6"/>
  <c r="I50" s="1"/>
  <c r="CS28" i="1"/>
  <c r="R28" s="1"/>
  <c r="H35" i="5"/>
  <c r="R35" s="1"/>
  <c r="I40" i="6"/>
  <c r="R40" s="1"/>
  <c r="AB172" i="1"/>
  <c r="AB96"/>
  <c r="BZ106"/>
  <c r="CI106" s="1"/>
  <c r="H50" i="5"/>
  <c r="K68"/>
  <c r="H70"/>
  <c r="R70" s="1"/>
  <c r="L83"/>
  <c r="Q83" s="1"/>
  <c r="H214"/>
  <c r="U219"/>
  <c r="U222"/>
  <c r="H229" s="1"/>
  <c r="H224"/>
  <c r="R224" s="1"/>
  <c r="K224"/>
  <c r="H226"/>
  <c r="R226" s="1"/>
  <c r="L230"/>
  <c r="G247"/>
  <c r="X247" s="1"/>
  <c r="L256"/>
  <c r="Q256" s="1"/>
  <c r="U257"/>
  <c r="H263" s="1"/>
  <c r="H259"/>
  <c r="R259" s="1"/>
  <c r="H261"/>
  <c r="R261" s="1"/>
  <c r="K261"/>
  <c r="S275"/>
  <c r="S292"/>
  <c r="H296" s="1"/>
  <c r="U300"/>
  <c r="U303"/>
  <c r="H308" s="1"/>
  <c r="K305"/>
  <c r="L309"/>
  <c r="E349"/>
  <c r="S349"/>
  <c r="H352" s="1"/>
  <c r="C350"/>
  <c r="E365"/>
  <c r="S365"/>
  <c r="H370" s="1"/>
  <c r="C366"/>
  <c r="E381"/>
  <c r="S381"/>
  <c r="H384" s="1"/>
  <c r="C382"/>
  <c r="E398"/>
  <c r="S398"/>
  <c r="H404" s="1"/>
  <c r="C399"/>
  <c r="H403"/>
  <c r="E418"/>
  <c r="S418"/>
  <c r="H424" s="1"/>
  <c r="C419"/>
  <c r="H423"/>
  <c r="K423"/>
  <c r="E428"/>
  <c r="S428"/>
  <c r="H434" s="1"/>
  <c r="C429"/>
  <c r="H433"/>
  <c r="K433"/>
  <c r="E448"/>
  <c r="S448"/>
  <c r="H454" s="1"/>
  <c r="C449"/>
  <c r="H453"/>
  <c r="S468"/>
  <c r="BC190" i="1"/>
  <c r="BC138" s="1"/>
  <c r="GX188"/>
  <c r="V188"/>
  <c r="CQ182"/>
  <c r="W181"/>
  <c r="CD190"/>
  <c r="CS180"/>
  <c r="R180" s="1"/>
  <c r="GK180" s="1"/>
  <c r="BY190"/>
  <c r="P179"/>
  <c r="V179"/>
  <c r="CT175"/>
  <c r="S175" s="1"/>
  <c r="CS173"/>
  <c r="R173" s="1"/>
  <c r="AD173"/>
  <c r="U172"/>
  <c r="CS172"/>
  <c r="R172" s="1"/>
  <c r="AD172"/>
  <c r="CT170"/>
  <c r="S170" s="1"/>
  <c r="CZ170" s="1"/>
  <c r="Y170" s="1"/>
  <c r="CT169"/>
  <c r="S169" s="1"/>
  <c r="P168"/>
  <c r="CP168" s="1"/>
  <c r="O168" s="1"/>
  <c r="V168"/>
  <c r="AB168"/>
  <c r="S167"/>
  <c r="AD167"/>
  <c r="CT166"/>
  <c r="S166" s="1"/>
  <c r="V165"/>
  <c r="CT165"/>
  <c r="S165" s="1"/>
  <c r="T165"/>
  <c r="R165"/>
  <c r="GK165" s="1"/>
  <c r="CQ164"/>
  <c r="P164" s="1"/>
  <c r="CS161"/>
  <c r="R161" s="1"/>
  <c r="GK161" s="1"/>
  <c r="S160"/>
  <c r="AD160"/>
  <c r="CS159"/>
  <c r="R159" s="1"/>
  <c r="GK159" s="1"/>
  <c r="U158"/>
  <c r="CS158"/>
  <c r="R158" s="1"/>
  <c r="GK158" s="1"/>
  <c r="W158"/>
  <c r="GX157"/>
  <c r="V157"/>
  <c r="CT157"/>
  <c r="S157" s="1"/>
  <c r="U154"/>
  <c r="S152"/>
  <c r="AD152"/>
  <c r="GX151"/>
  <c r="S151"/>
  <c r="W151"/>
  <c r="U151"/>
  <c r="AD151"/>
  <c r="CT150"/>
  <c r="S150" s="1"/>
  <c r="W149"/>
  <c r="U149"/>
  <c r="T146"/>
  <c r="R146"/>
  <c r="GK146" s="1"/>
  <c r="CT145"/>
  <c r="S145" s="1"/>
  <c r="U144"/>
  <c r="P144"/>
  <c r="AD143"/>
  <c r="V142"/>
  <c r="BC106"/>
  <c r="AO106"/>
  <c r="CQ104"/>
  <c r="P104" s="1"/>
  <c r="AB104"/>
  <c r="CQ102"/>
  <c r="P102" s="1"/>
  <c r="CQ100"/>
  <c r="P100" s="1"/>
  <c r="CZ99"/>
  <c r="Y99" s="1"/>
  <c r="CQ94"/>
  <c r="P94" s="1"/>
  <c r="CT93"/>
  <c r="CQ92"/>
  <c r="P92" s="1"/>
  <c r="CT91"/>
  <c r="S91" s="1"/>
  <c r="V91"/>
  <c r="I266" i="6"/>
  <c r="R266" s="1"/>
  <c r="AB91" i="1"/>
  <c r="V90"/>
  <c r="CT90"/>
  <c r="S90" s="1"/>
  <c r="P90"/>
  <c r="CP90" s="1"/>
  <c r="O90" s="1"/>
  <c r="T90"/>
  <c r="I257" i="6"/>
  <c r="R257" s="1"/>
  <c r="CQ89" i="1"/>
  <c r="P89" s="1"/>
  <c r="CT88"/>
  <c r="CQ88"/>
  <c r="GX86"/>
  <c r="T86"/>
  <c r="CQ86"/>
  <c r="P86" s="1"/>
  <c r="V86"/>
  <c r="AB86"/>
  <c r="CQ84"/>
  <c r="P84" s="1"/>
  <c r="S82"/>
  <c r="CZ82" s="1"/>
  <c r="Y82" s="1"/>
  <c r="U82"/>
  <c r="CT81"/>
  <c r="S81" s="1"/>
  <c r="V81"/>
  <c r="I204" i="6"/>
  <c r="R204" s="1"/>
  <c r="V80" i="1"/>
  <c r="CT80"/>
  <c r="S80" s="1"/>
  <c r="P80"/>
  <c r="T80"/>
  <c r="I195" i="6"/>
  <c r="CQ79" i="1"/>
  <c r="P79" s="1"/>
  <c r="BY106"/>
  <c r="CS78"/>
  <c r="CQ77"/>
  <c r="P77" s="1"/>
  <c r="CQ76"/>
  <c r="P76" s="1"/>
  <c r="F46"/>
  <c r="CS39"/>
  <c r="R39" s="1"/>
  <c r="AD39"/>
  <c r="R38"/>
  <c r="V38"/>
  <c r="T38"/>
  <c r="V37"/>
  <c r="T37"/>
  <c r="CT35"/>
  <c r="S35" s="1"/>
  <c r="T35"/>
  <c r="U31"/>
  <c r="AD31"/>
  <c r="CS29"/>
  <c r="R29" s="1"/>
  <c r="AD29"/>
  <c r="CT28"/>
  <c r="S28" s="1"/>
  <c r="U32" i="5"/>
  <c r="H37" s="1"/>
  <c r="S40"/>
  <c r="H44" s="1"/>
  <c r="H41"/>
  <c r="R41" s="1"/>
  <c r="H43"/>
  <c r="R43" s="1"/>
  <c r="U48"/>
  <c r="H54" s="1"/>
  <c r="U57"/>
  <c r="H63" s="1"/>
  <c r="H59"/>
  <c r="R59" s="1"/>
  <c r="H61"/>
  <c r="R61" s="1"/>
  <c r="K61"/>
  <c r="L74"/>
  <c r="Q74" s="1"/>
  <c r="U75"/>
  <c r="H81" s="1"/>
  <c r="H77"/>
  <c r="R77" s="1"/>
  <c r="H79"/>
  <c r="R79" s="1"/>
  <c r="L90"/>
  <c r="Q90" s="1"/>
  <c r="U91"/>
  <c r="H96" s="1"/>
  <c r="H93"/>
  <c r="R93" s="1"/>
  <c r="L97"/>
  <c r="E108"/>
  <c r="S108"/>
  <c r="H113" s="1"/>
  <c r="C109"/>
  <c r="H111"/>
  <c r="L115"/>
  <c r="E126"/>
  <c r="S126"/>
  <c r="H132" s="1"/>
  <c r="C127"/>
  <c r="H131"/>
  <c r="K131"/>
  <c r="L144"/>
  <c r="Q144" s="1"/>
  <c r="A146"/>
  <c r="E162"/>
  <c r="S162"/>
  <c r="H168" s="1"/>
  <c r="G171" s="1"/>
  <c r="C163"/>
  <c r="H167"/>
  <c r="S182"/>
  <c r="H183"/>
  <c r="E185"/>
  <c r="S185"/>
  <c r="H191" s="1"/>
  <c r="G194" s="1"/>
  <c r="C186"/>
  <c r="H188"/>
  <c r="H190"/>
  <c r="S204"/>
  <c r="L218"/>
  <c r="Q218" s="1"/>
  <c r="S232"/>
  <c r="H233"/>
  <c r="E235"/>
  <c r="S235"/>
  <c r="H241" s="1"/>
  <c r="C236"/>
  <c r="H240"/>
  <c r="U245"/>
  <c r="U248"/>
  <c r="H254" s="1"/>
  <c r="H250"/>
  <c r="R250" s="1"/>
  <c r="H252"/>
  <c r="R252" s="1"/>
  <c r="U266"/>
  <c r="H268"/>
  <c r="R268" s="1"/>
  <c r="H270"/>
  <c r="R270" s="1"/>
  <c r="K270"/>
  <c r="S277"/>
  <c r="H278"/>
  <c r="S280"/>
  <c r="H281"/>
  <c r="K281"/>
  <c r="E283"/>
  <c r="S283"/>
  <c r="H288" s="1"/>
  <c r="G291" s="1"/>
  <c r="O291" s="1"/>
  <c r="C284"/>
  <c r="H286"/>
  <c r="L290"/>
  <c r="L299"/>
  <c r="Q299" s="1"/>
  <c r="G302"/>
  <c r="O302" s="1"/>
  <c r="S311"/>
  <c r="H312"/>
  <c r="S314"/>
  <c r="H315"/>
  <c r="K315"/>
  <c r="S317"/>
  <c r="H318"/>
  <c r="S320"/>
  <c r="H321"/>
  <c r="K321"/>
  <c r="E323"/>
  <c r="S323"/>
  <c r="H328" s="1"/>
  <c r="C324"/>
  <c r="H326"/>
  <c r="L330"/>
  <c r="AG333"/>
  <c r="E340"/>
  <c r="S340"/>
  <c r="H345" s="1"/>
  <c r="C341"/>
  <c r="H343"/>
  <c r="E356"/>
  <c r="S356"/>
  <c r="H361" s="1"/>
  <c r="C357"/>
  <c r="L363"/>
  <c r="E374"/>
  <c r="S374"/>
  <c r="H377" s="1"/>
  <c r="C375"/>
  <c r="E388"/>
  <c r="S388"/>
  <c r="H393" s="1"/>
  <c r="G396" s="1"/>
  <c r="C389"/>
  <c r="L395"/>
  <c r="U408"/>
  <c r="H415" s="1"/>
  <c r="H410"/>
  <c r="R410" s="1"/>
  <c r="H412"/>
  <c r="R412" s="1"/>
  <c r="L416"/>
  <c r="L437"/>
  <c r="Q437" s="1"/>
  <c r="U438"/>
  <c r="H445" s="1"/>
  <c r="H440"/>
  <c r="R440" s="1"/>
  <c r="H442"/>
  <c r="R442" s="1"/>
  <c r="K442"/>
  <c r="L446"/>
  <c r="U458"/>
  <c r="H465" s="1"/>
  <c r="H460"/>
  <c r="R460" s="1"/>
  <c r="H462"/>
  <c r="R462" s="1"/>
  <c r="K462"/>
  <c r="L466"/>
  <c r="O213" i="6"/>
  <c r="W103"/>
  <c r="O166"/>
  <c r="O210"/>
  <c r="H223"/>
  <c r="H249"/>
  <c r="W61"/>
  <c r="O61"/>
  <c r="H95"/>
  <c r="H130"/>
  <c r="H186"/>
  <c r="O270"/>
  <c r="O353"/>
  <c r="O385"/>
  <c r="W648"/>
  <c r="H452"/>
  <c r="H462"/>
  <c r="W360"/>
  <c r="W378"/>
  <c r="O412"/>
  <c r="O499"/>
  <c r="O252"/>
  <c r="H296"/>
  <c r="H548"/>
  <c r="H565"/>
  <c r="H578"/>
  <c r="H640"/>
  <c r="W324"/>
  <c r="O489"/>
  <c r="O568"/>
  <c r="W592"/>
  <c r="W595"/>
  <c r="G135" i="5"/>
  <c r="O135" s="1"/>
  <c r="A698" i="6"/>
  <c r="AG698"/>
  <c r="G653" i="5"/>
  <c r="O653" s="1"/>
  <c r="G218"/>
  <c r="O218" s="1"/>
  <c r="G65"/>
  <c r="O65" s="1"/>
  <c r="W470"/>
  <c r="G355"/>
  <c r="O355" s="1"/>
  <c r="G534"/>
  <c r="O534" s="1"/>
  <c r="G256"/>
  <c r="W256" s="1"/>
  <c r="W484"/>
  <c r="G116"/>
  <c r="W116" s="1"/>
  <c r="G125"/>
  <c r="W125" s="1"/>
  <c r="G98"/>
  <c r="O98" s="1"/>
  <c r="O234"/>
  <c r="G348"/>
  <c r="O348" s="1"/>
  <c r="W590"/>
  <c r="G437"/>
  <c r="O437" s="1"/>
  <c r="G299"/>
  <c r="O299" s="1"/>
  <c r="G380"/>
  <c r="W380" s="1"/>
  <c r="G407"/>
  <c r="W407" s="1"/>
  <c r="H510"/>
  <c r="W612"/>
  <c r="G673"/>
  <c r="W673" s="1"/>
  <c r="G373"/>
  <c r="G467"/>
  <c r="G573"/>
  <c r="G635"/>
  <c r="W218"/>
  <c r="O560"/>
  <c r="W560"/>
  <c r="O116"/>
  <c r="G144"/>
  <c r="W291"/>
  <c r="W348"/>
  <c r="G56"/>
  <c r="G643"/>
  <c r="W135"/>
  <c r="W653"/>
  <c r="W181"/>
  <c r="O407"/>
  <c r="G331"/>
  <c r="W65"/>
  <c r="G552"/>
  <c r="W563"/>
  <c r="O208"/>
  <c r="W302"/>
  <c r="W184"/>
  <c r="O587"/>
  <c r="CZ164" i="1"/>
  <c r="Y164" s="1"/>
  <c r="CY164"/>
  <c r="X164" s="1"/>
  <c r="CZ185"/>
  <c r="Y185" s="1"/>
  <c r="CI190"/>
  <c r="AP190"/>
  <c r="BY138"/>
  <c r="CZ177"/>
  <c r="Y177" s="1"/>
  <c r="CY177"/>
  <c r="X177" s="1"/>
  <c r="CY169"/>
  <c r="X169" s="1"/>
  <c r="CZ169"/>
  <c r="Y169" s="1"/>
  <c r="CZ165"/>
  <c r="Y165" s="1"/>
  <c r="CY165"/>
  <c r="X165" s="1"/>
  <c r="CY161"/>
  <c r="X161" s="1"/>
  <c r="CY155"/>
  <c r="X155" s="1"/>
  <c r="CY152"/>
  <c r="X152" s="1"/>
  <c r="CY150"/>
  <c r="X150" s="1"/>
  <c r="CY145"/>
  <c r="X145" s="1"/>
  <c r="CZ145"/>
  <c r="Y145" s="1"/>
  <c r="CZ143"/>
  <c r="Y143" s="1"/>
  <c r="CY143"/>
  <c r="X143" s="1"/>
  <c r="U163"/>
  <c r="CP156"/>
  <c r="O156" s="1"/>
  <c r="CZ186"/>
  <c r="Y186" s="1"/>
  <c r="CY186"/>
  <c r="X186" s="1"/>
  <c r="CC138"/>
  <c r="CY158"/>
  <c r="X158" s="1"/>
  <c r="CZ146"/>
  <c r="Y146" s="1"/>
  <c r="CY141"/>
  <c r="X141" s="1"/>
  <c r="CZ89"/>
  <c r="Y89" s="1"/>
  <c r="BY74"/>
  <c r="AP106"/>
  <c r="AP220" s="1"/>
  <c r="CZ160"/>
  <c r="Y160" s="1"/>
  <c r="CZ184"/>
  <c r="Y184" s="1"/>
  <c r="CY184"/>
  <c r="X184" s="1"/>
  <c r="CZ178"/>
  <c r="Y178" s="1"/>
  <c r="CY178"/>
  <c r="X178" s="1"/>
  <c r="CZ172"/>
  <c r="Y172" s="1"/>
  <c r="CZ168"/>
  <c r="Y168" s="1"/>
  <c r="CY168"/>
  <c r="X168" s="1"/>
  <c r="CZ79"/>
  <c r="Y79" s="1"/>
  <c r="CY79"/>
  <c r="X79" s="1"/>
  <c r="AB186"/>
  <c r="CP175"/>
  <c r="O175" s="1"/>
  <c r="AB162"/>
  <c r="CZ187"/>
  <c r="Y187" s="1"/>
  <c r="CZ173"/>
  <c r="Y173" s="1"/>
  <c r="CZ156"/>
  <c r="Y156" s="1"/>
  <c r="CY156"/>
  <c r="X156" s="1"/>
  <c r="CZ149"/>
  <c r="Y149" s="1"/>
  <c r="CY149"/>
  <c r="X149" s="1"/>
  <c r="AQ138"/>
  <c r="F200"/>
  <c r="CY170"/>
  <c r="X170" s="1"/>
  <c r="CZ167"/>
  <c r="Y167" s="1"/>
  <c r="CY167"/>
  <c r="X167" s="1"/>
  <c r="CZ154"/>
  <c r="Y154" s="1"/>
  <c r="CY151"/>
  <c r="X151" s="1"/>
  <c r="CZ151"/>
  <c r="Y151" s="1"/>
  <c r="GX182"/>
  <c r="CP179"/>
  <c r="O179" s="1"/>
  <c r="S163"/>
  <c r="CP153"/>
  <c r="O153" s="1"/>
  <c r="CZ180"/>
  <c r="Y180" s="1"/>
  <c r="CZ142"/>
  <c r="Y142" s="1"/>
  <c r="CY142"/>
  <c r="X142" s="1"/>
  <c r="AQ106"/>
  <c r="CG106"/>
  <c r="CZ162"/>
  <c r="Y162" s="1"/>
  <c r="CY162"/>
  <c r="X162" s="1"/>
  <c r="CZ183"/>
  <c r="Y183" s="1"/>
  <c r="CY183"/>
  <c r="X183" s="1"/>
  <c r="CZ181"/>
  <c r="Y181" s="1"/>
  <c r="CY181"/>
  <c r="X181" s="1"/>
  <c r="CD138"/>
  <c r="AU190"/>
  <c r="CY166"/>
  <c r="X166" s="1"/>
  <c r="CZ166"/>
  <c r="Y166" s="1"/>
  <c r="CP141"/>
  <c r="O141" s="1"/>
  <c r="CZ159"/>
  <c r="Y159" s="1"/>
  <c r="CZ179"/>
  <c r="Y179" s="1"/>
  <c r="CY179"/>
  <c r="X179" s="1"/>
  <c r="CZ153"/>
  <c r="Y153" s="1"/>
  <c r="CY153"/>
  <c r="X153" s="1"/>
  <c r="F51"/>
  <c r="AP26"/>
  <c r="CP180"/>
  <c r="O180" s="1"/>
  <c r="CP145"/>
  <c r="O145" s="1"/>
  <c r="CX472" i="3"/>
  <c r="CX480"/>
  <c r="CX475"/>
  <c r="CX470"/>
  <c r="CX478"/>
  <c r="CX473"/>
  <c r="CX481"/>
  <c r="CX476"/>
  <c r="CX471"/>
  <c r="CX479"/>
  <c r="CX474"/>
  <c r="CX469"/>
  <c r="CX477"/>
  <c r="CX320"/>
  <c r="CX315"/>
  <c r="CX318"/>
  <c r="CX313"/>
  <c r="CX321"/>
  <c r="CX316"/>
  <c r="CX319"/>
  <c r="CX314"/>
  <c r="CX322"/>
  <c r="CX317"/>
  <c r="CX256"/>
  <c r="CX254"/>
  <c r="CX255"/>
  <c r="CX253"/>
  <c r="CY35" i="1"/>
  <c r="X35" s="1"/>
  <c r="CZ35"/>
  <c r="Y35" s="1"/>
  <c r="CS188"/>
  <c r="R188" s="1"/>
  <c r="CQ186"/>
  <c r="P186" s="1"/>
  <c r="CQ181"/>
  <c r="P181" s="1"/>
  <c r="CS176"/>
  <c r="R176" s="1"/>
  <c r="CY176" s="1"/>
  <c r="X176" s="1"/>
  <c r="CS175"/>
  <c r="R175" s="1"/>
  <c r="CY175" s="1"/>
  <c r="X175" s="1"/>
  <c r="CS174"/>
  <c r="I174"/>
  <c r="S588" i="6" s="1"/>
  <c r="CR170" i="1"/>
  <c r="Q170" s="1"/>
  <c r="CR169"/>
  <c r="Q169" s="1"/>
  <c r="CR166"/>
  <c r="Q166" s="1"/>
  <c r="CQ162"/>
  <c r="P162" s="1"/>
  <c r="CR159"/>
  <c r="Q159" s="1"/>
  <c r="CP159" s="1"/>
  <c r="O159" s="1"/>
  <c r="CR158"/>
  <c r="Q158" s="1"/>
  <c r="CP158" s="1"/>
  <c r="O158" s="1"/>
  <c r="CS157"/>
  <c r="R157" s="1"/>
  <c r="CQ154"/>
  <c r="P154" s="1"/>
  <c r="CS147"/>
  <c r="R147" s="1"/>
  <c r="CS144"/>
  <c r="R144" s="1"/>
  <c r="U142"/>
  <c r="AB141"/>
  <c r="CP87"/>
  <c r="O87" s="1"/>
  <c r="CX368" i="3"/>
  <c r="CX363"/>
  <c r="CX371"/>
  <c r="CX366"/>
  <c r="CX369"/>
  <c r="CX364"/>
  <c r="CX372"/>
  <c r="CX367"/>
  <c r="CX370"/>
  <c r="CX365"/>
  <c r="CX280"/>
  <c r="CX275"/>
  <c r="CX278"/>
  <c r="CX273"/>
  <c r="CX276"/>
  <c r="CX279"/>
  <c r="CX274"/>
  <c r="CX277"/>
  <c r="CY38" i="1"/>
  <c r="X38" s="1"/>
  <c r="CY33"/>
  <c r="X33" s="1"/>
  <c r="BB190"/>
  <c r="AB187"/>
  <c r="AD183"/>
  <c r="H631" i="6" s="1"/>
  <c r="AD182" i="1"/>
  <c r="AD177"/>
  <c r="AD164"/>
  <c r="AD163"/>
  <c r="AA513" i="5" s="1"/>
  <c r="AB156" i="1"/>
  <c r="AB155"/>
  <c r="AD149"/>
  <c r="CY103"/>
  <c r="X103" s="1"/>
  <c r="CY102"/>
  <c r="X102" s="1"/>
  <c r="CY101"/>
  <c r="X101" s="1"/>
  <c r="CY100"/>
  <c r="X100" s="1"/>
  <c r="CY99"/>
  <c r="X99" s="1"/>
  <c r="CY95"/>
  <c r="X95" s="1"/>
  <c r="CY94"/>
  <c r="X94" s="1"/>
  <c r="T88"/>
  <c r="AD85"/>
  <c r="CR85" s="1"/>
  <c r="Q85" s="1"/>
  <c r="CP85" s="1"/>
  <c r="O85" s="1"/>
  <c r="AD84"/>
  <c r="T78"/>
  <c r="AD76"/>
  <c r="AB38"/>
  <c r="CX456" i="3"/>
  <c r="CX459"/>
  <c r="CX462"/>
  <c r="CX457"/>
  <c r="CX460"/>
  <c r="CX455"/>
  <c r="CX458"/>
  <c r="CX461"/>
  <c r="CX432"/>
  <c r="CX435"/>
  <c r="CX438"/>
  <c r="CX433"/>
  <c r="CX436"/>
  <c r="CX431"/>
  <c r="CX439"/>
  <c r="CX434"/>
  <c r="CX437"/>
  <c r="CX352"/>
  <c r="CX347"/>
  <c r="CX355"/>
  <c r="CX350"/>
  <c r="CX353"/>
  <c r="CX348"/>
  <c r="CX351"/>
  <c r="CX346"/>
  <c r="CX354"/>
  <c r="CX349"/>
  <c r="CX296"/>
  <c r="CX299"/>
  <c r="CX297"/>
  <c r="CX295"/>
  <c r="CX298"/>
  <c r="CX248"/>
  <c r="CX249"/>
  <c r="CX250"/>
  <c r="CX243"/>
  <c r="CX242"/>
  <c r="CZ98" i="1"/>
  <c r="Y98" s="1"/>
  <c r="CY98"/>
  <c r="X98" s="1"/>
  <c r="CZ97"/>
  <c r="Y97" s="1"/>
  <c r="CY97"/>
  <c r="X97" s="1"/>
  <c r="CX152" i="3"/>
  <c r="CX147"/>
  <c r="CX155"/>
  <c r="CX150"/>
  <c r="CX153"/>
  <c r="CX148"/>
  <c r="U88" i="1"/>
  <c r="CX151" i="3"/>
  <c r="CX146"/>
  <c r="CX154"/>
  <c r="CX149"/>
  <c r="CX104"/>
  <c r="CX102"/>
  <c r="CX105"/>
  <c r="CX100"/>
  <c r="U78" i="1"/>
  <c r="CX103" i="3"/>
  <c r="CX101"/>
  <c r="CZ39" i="1"/>
  <c r="Y39" s="1"/>
  <c r="CZ31"/>
  <c r="Y31" s="1"/>
  <c r="CZ29"/>
  <c r="Y29" s="1"/>
  <c r="CJ42"/>
  <c r="CX419" i="3"/>
  <c r="CX420"/>
  <c r="CX418"/>
  <c r="CX421"/>
  <c r="CX264"/>
  <c r="CX259"/>
  <c r="CX262"/>
  <c r="CX257"/>
  <c r="CX260"/>
  <c r="CX263"/>
  <c r="CX258"/>
  <c r="CX261"/>
  <c r="CX192"/>
  <c r="CX200"/>
  <c r="CX187"/>
  <c r="CX195"/>
  <c r="I93" i="1"/>
  <c r="CX190" i="3"/>
  <c r="CX198"/>
  <c r="CX185"/>
  <c r="CX193"/>
  <c r="CX201"/>
  <c r="CX188"/>
  <c r="CX196"/>
  <c r="T92" i="1"/>
  <c r="CX191" i="3"/>
  <c r="CX199"/>
  <c r="CX186"/>
  <c r="CX194"/>
  <c r="CX189"/>
  <c r="CX197"/>
  <c r="BC220" i="1"/>
  <c r="I182"/>
  <c r="S627" i="6" s="1"/>
  <c r="AB179" i="1"/>
  <c r="I163"/>
  <c r="AB142"/>
  <c r="CP102"/>
  <c r="O102" s="1"/>
  <c r="CP96"/>
  <c r="O96" s="1"/>
  <c r="CZ92"/>
  <c r="Y92" s="1"/>
  <c r="CD106"/>
  <c r="AX42"/>
  <c r="CX400" i="3"/>
  <c r="CX398"/>
  <c r="CX399"/>
  <c r="CX376"/>
  <c r="CX374"/>
  <c r="CX375"/>
  <c r="CX373"/>
  <c r="CX323"/>
  <c r="CX326"/>
  <c r="CX324"/>
  <c r="CX327"/>
  <c r="CX325"/>
  <c r="CX288"/>
  <c r="CX283"/>
  <c r="CX286"/>
  <c r="CX281"/>
  <c r="CX284"/>
  <c r="CX287"/>
  <c r="CX282"/>
  <c r="CX285"/>
  <c r="CG190" i="1"/>
  <c r="AO190"/>
  <c r="AB188"/>
  <c r="AD178"/>
  <c r="AB176"/>
  <c r="AB175"/>
  <c r="AB174"/>
  <c r="AD165"/>
  <c r="G525" i="5" s="1"/>
  <c r="W525" s="1"/>
  <c r="AD150" i="1"/>
  <c r="AB147"/>
  <c r="AD146"/>
  <c r="G387" i="5" s="1"/>
  <c r="AB145" i="1"/>
  <c r="W144"/>
  <c r="AB144"/>
  <c r="P142"/>
  <c r="BZ138"/>
  <c r="AD103"/>
  <c r="CR103" s="1"/>
  <c r="Q103" s="1"/>
  <c r="CP103" s="1"/>
  <c r="O103" s="1"/>
  <c r="AD102"/>
  <c r="CR102" s="1"/>
  <c r="Q102" s="1"/>
  <c r="AD101"/>
  <c r="CR101" s="1"/>
  <c r="Q101" s="1"/>
  <c r="CP101" s="1"/>
  <c r="O101" s="1"/>
  <c r="AD100"/>
  <c r="CR100" s="1"/>
  <c r="Q100" s="1"/>
  <c r="CP100" s="1"/>
  <c r="O100" s="1"/>
  <c r="AD99"/>
  <c r="CR99" s="1"/>
  <c r="Q99" s="1"/>
  <c r="CP99" s="1"/>
  <c r="O99" s="1"/>
  <c r="AD95"/>
  <c r="CR95" s="1"/>
  <c r="Q95" s="1"/>
  <c r="CP95" s="1"/>
  <c r="O95" s="1"/>
  <c r="AD94"/>
  <c r="CR94" s="1"/>
  <c r="Q94" s="1"/>
  <c r="CP94" s="1"/>
  <c r="O94" s="1"/>
  <c r="P93"/>
  <c r="AB93"/>
  <c r="V88"/>
  <c r="V78"/>
  <c r="AB77"/>
  <c r="AI42"/>
  <c r="CX464" i="3"/>
  <c r="CX467"/>
  <c r="CX465"/>
  <c r="CX468"/>
  <c r="CX463"/>
  <c r="CX466"/>
  <c r="CX304"/>
  <c r="CX312"/>
  <c r="CX307"/>
  <c r="CX302"/>
  <c r="CX310"/>
  <c r="CX305"/>
  <c r="CX300"/>
  <c r="CX308"/>
  <c r="CX303"/>
  <c r="CX311"/>
  <c r="CX306"/>
  <c r="CX301"/>
  <c r="CX309"/>
  <c r="CX246"/>
  <c r="CX244"/>
  <c r="CX247"/>
  <c r="CX245"/>
  <c r="CY37" i="1"/>
  <c r="X37" s="1"/>
  <c r="CZ30"/>
  <c r="Y30" s="1"/>
  <c r="CY30"/>
  <c r="X30" s="1"/>
  <c r="Q93"/>
  <c r="P88"/>
  <c r="W88"/>
  <c r="P78"/>
  <c r="W78"/>
  <c r="AJ42"/>
  <c r="CX424" i="3"/>
  <c r="CX427"/>
  <c r="CX422"/>
  <c r="CX430"/>
  <c r="CX425"/>
  <c r="CX428"/>
  <c r="CX423"/>
  <c r="CX426"/>
  <c r="CX429"/>
  <c r="CX360"/>
  <c r="CX358"/>
  <c r="CX361"/>
  <c r="CX356"/>
  <c r="CX359"/>
  <c r="CX362"/>
  <c r="CX357"/>
  <c r="CX272"/>
  <c r="CX267"/>
  <c r="CX270"/>
  <c r="CX265"/>
  <c r="CX268"/>
  <c r="CX271"/>
  <c r="CX266"/>
  <c r="CX269"/>
  <c r="CZ91" i="1"/>
  <c r="Y91" s="1"/>
  <c r="CR89"/>
  <c r="Q89" s="1"/>
  <c r="CP89" s="1"/>
  <c r="O89" s="1"/>
  <c r="AB89"/>
  <c r="CZ81"/>
  <c r="Y81" s="1"/>
  <c r="CR79"/>
  <c r="Q79" s="1"/>
  <c r="CP79" s="1"/>
  <c r="O79" s="1"/>
  <c r="AB79"/>
  <c r="CI42"/>
  <c r="BY26"/>
  <c r="GK36"/>
  <c r="CY36"/>
  <c r="X36" s="1"/>
  <c r="S144"/>
  <c r="AB143"/>
  <c r="R93"/>
  <c r="GK93" s="1"/>
  <c r="AB92"/>
  <c r="AB90"/>
  <c r="R88"/>
  <c r="CY85"/>
  <c r="X85" s="1"/>
  <c r="CY84"/>
  <c r="X84" s="1"/>
  <c r="AB80"/>
  <c r="R78"/>
  <c r="CY76"/>
  <c r="X76" s="1"/>
  <c r="AF42"/>
  <c r="CX408" i="3"/>
  <c r="CX416"/>
  <c r="CX403"/>
  <c r="CX411"/>
  <c r="CX406"/>
  <c r="CX414"/>
  <c r="CX401"/>
  <c r="CX409"/>
  <c r="CX417"/>
  <c r="CX404"/>
  <c r="CX412"/>
  <c r="CX407"/>
  <c r="CX415"/>
  <c r="CX402"/>
  <c r="CX410"/>
  <c r="CX405"/>
  <c r="CX413"/>
  <c r="CX384"/>
  <c r="CX379"/>
  <c r="CX387"/>
  <c r="CX382"/>
  <c r="CX377"/>
  <c r="CX385"/>
  <c r="CX380"/>
  <c r="CX388"/>
  <c r="CX383"/>
  <c r="CX378"/>
  <c r="CX386"/>
  <c r="CX381"/>
  <c r="CX389"/>
  <c r="CX328"/>
  <c r="CX336"/>
  <c r="CX344"/>
  <c r="CX331"/>
  <c r="CX339"/>
  <c r="CX334"/>
  <c r="CX342"/>
  <c r="CX329"/>
  <c r="CX337"/>
  <c r="CX345"/>
  <c r="CX332"/>
  <c r="CX340"/>
  <c r="CX335"/>
  <c r="CX343"/>
  <c r="CX330"/>
  <c r="CX338"/>
  <c r="CX333"/>
  <c r="CX341"/>
  <c r="CX291"/>
  <c r="CX294"/>
  <c r="CX289"/>
  <c r="CX292"/>
  <c r="CX290"/>
  <c r="CX293"/>
  <c r="AB88" i="1"/>
  <c r="CZ83"/>
  <c r="Y83" s="1"/>
  <c r="CY83"/>
  <c r="X83" s="1"/>
  <c r="CY82"/>
  <c r="X82" s="1"/>
  <c r="CR78"/>
  <c r="Q78" s="1"/>
  <c r="AB78"/>
  <c r="AQ42"/>
  <c r="BZ26"/>
  <c r="T144"/>
  <c r="GX143"/>
  <c r="P143"/>
  <c r="T142"/>
  <c r="GX93"/>
  <c r="V93"/>
  <c r="S88"/>
  <c r="CZ85"/>
  <c r="Y85" s="1"/>
  <c r="CZ84"/>
  <c r="Y84" s="1"/>
  <c r="S78"/>
  <c r="CZ76"/>
  <c r="Y76" s="1"/>
  <c r="CS40"/>
  <c r="R40" s="1"/>
  <c r="CZ40" s="1"/>
  <c r="Y40" s="1"/>
  <c r="CQ38"/>
  <c r="P38" s="1"/>
  <c r="CR35"/>
  <c r="Q35" s="1"/>
  <c r="CS32"/>
  <c r="R32" s="1"/>
  <c r="CX237" i="3"/>
  <c r="CX229"/>
  <c r="CX221"/>
  <c r="CX205"/>
  <c r="CX181"/>
  <c r="CX173"/>
  <c r="CX165"/>
  <c r="CX157"/>
  <c r="CX141"/>
  <c r="CX133"/>
  <c r="CX125"/>
  <c r="CX117"/>
  <c r="CX109"/>
  <c r="CX93"/>
  <c r="CX85"/>
  <c r="CX77"/>
  <c r="CX69"/>
  <c r="CX61"/>
  <c r="CX53"/>
  <c r="CX45"/>
  <c r="CX37"/>
  <c r="CX29"/>
  <c r="CX21"/>
  <c r="CS104" i="1"/>
  <c r="R104" s="1"/>
  <c r="GK104" s="1"/>
  <c r="CQ98"/>
  <c r="P98" s="1"/>
  <c r="CQ97"/>
  <c r="P97" s="1"/>
  <c r="CS96"/>
  <c r="R96" s="1"/>
  <c r="GK96" s="1"/>
  <c r="CS87"/>
  <c r="R87" s="1"/>
  <c r="GK87" s="1"/>
  <c r="CS86"/>
  <c r="R86" s="1"/>
  <c r="CQ83"/>
  <c r="P83" s="1"/>
  <c r="CQ82"/>
  <c r="P82" s="1"/>
  <c r="CP82" s="1"/>
  <c r="O82" s="1"/>
  <c r="CS77"/>
  <c r="R77" s="1"/>
  <c r="BB42"/>
  <c r="AT42"/>
  <c r="U38"/>
  <c r="P37"/>
  <c r="AD33"/>
  <c r="T33"/>
  <c r="AB31"/>
  <c r="CR30"/>
  <c r="Q30" s="1"/>
  <c r="CX234" i="3"/>
  <c r="CX226"/>
  <c r="CX218"/>
  <c r="CX202"/>
  <c r="CX178"/>
  <c r="CX170"/>
  <c r="CX162"/>
  <c r="CX138"/>
  <c r="CX130"/>
  <c r="CX122"/>
  <c r="CX114"/>
  <c r="CX106"/>
  <c r="CX98"/>
  <c r="CX90"/>
  <c r="CX82"/>
  <c r="CX74"/>
  <c r="CX66"/>
  <c r="CX58"/>
  <c r="CX50"/>
  <c r="CX42"/>
  <c r="CX34"/>
  <c r="CX26"/>
  <c r="AD36" i="1"/>
  <c r="H112" i="6" s="1"/>
  <c r="CX239" i="3"/>
  <c r="CX231"/>
  <c r="CX223"/>
  <c r="CX215"/>
  <c r="CX183"/>
  <c r="CX175"/>
  <c r="CX167"/>
  <c r="CX159"/>
  <c r="CX143"/>
  <c r="CX135"/>
  <c r="CX127"/>
  <c r="CX119"/>
  <c r="CX111"/>
  <c r="CX95"/>
  <c r="CX87"/>
  <c r="CX79"/>
  <c r="CX71"/>
  <c r="CX63"/>
  <c r="CX55"/>
  <c r="CX47"/>
  <c r="CX39"/>
  <c r="CX31"/>
  <c r="CX23"/>
  <c r="CX236"/>
  <c r="CX228"/>
  <c r="CX220"/>
  <c r="CX204"/>
  <c r="CX180"/>
  <c r="CX172"/>
  <c r="CX164"/>
  <c r="CX156"/>
  <c r="CX140"/>
  <c r="CX132"/>
  <c r="CX124"/>
  <c r="CX116"/>
  <c r="CX108"/>
  <c r="CX92"/>
  <c r="CX84"/>
  <c r="CX76"/>
  <c r="CX68"/>
  <c r="CX60"/>
  <c r="CX52"/>
  <c r="CX44"/>
  <c r="CX36"/>
  <c r="CX28"/>
  <c r="CX20"/>
  <c r="CY34" i="1"/>
  <c r="X34" s="1"/>
  <c r="AD34"/>
  <c r="G90" i="5" s="1"/>
  <c r="AB32" i="1"/>
  <c r="CY28"/>
  <c r="X28" s="1"/>
  <c r="AD28"/>
  <c r="CX241" i="3"/>
  <c r="CX233"/>
  <c r="CX225"/>
  <c r="CX217"/>
  <c r="CX177"/>
  <c r="CX169"/>
  <c r="CX161"/>
  <c r="CX145"/>
  <c r="CX137"/>
  <c r="CX129"/>
  <c r="CX121"/>
  <c r="CX113"/>
  <c r="CX97"/>
  <c r="CX89"/>
  <c r="CX81"/>
  <c r="CX73"/>
  <c r="CX65"/>
  <c r="CX57"/>
  <c r="CX49"/>
  <c r="CX41"/>
  <c r="CX33"/>
  <c r="CX25"/>
  <c r="CX238"/>
  <c r="CX230"/>
  <c r="CX222"/>
  <c r="CX214"/>
  <c r="CX182"/>
  <c r="CX174"/>
  <c r="CX166"/>
  <c r="CX158"/>
  <c r="CX142"/>
  <c r="CX134"/>
  <c r="CX126"/>
  <c r="CX118"/>
  <c r="CX110"/>
  <c r="CX94"/>
  <c r="CX86"/>
  <c r="CX78"/>
  <c r="CX70"/>
  <c r="CX62"/>
  <c r="CX54"/>
  <c r="CX22"/>
  <c r="CX235"/>
  <c r="CX227"/>
  <c r="CX219"/>
  <c r="CX179"/>
  <c r="CX171"/>
  <c r="CX163"/>
  <c r="CX139"/>
  <c r="CX131"/>
  <c r="CX123"/>
  <c r="CX115"/>
  <c r="CX107"/>
  <c r="CX99"/>
  <c r="CX91"/>
  <c r="CX83"/>
  <c r="CX75"/>
  <c r="CX67"/>
  <c r="CX59"/>
  <c r="CX51"/>
  <c r="CX43"/>
  <c r="CX232"/>
  <c r="CX184"/>
  <c r="CX168"/>
  <c r="CX136"/>
  <c r="CX88"/>
  <c r="CX72"/>
  <c r="CX56"/>
  <c r="O90" i="5" l="1"/>
  <c r="W90"/>
  <c r="V141" i="6"/>
  <c r="L147" s="1"/>
  <c r="V136" i="5"/>
  <c r="K142" s="1"/>
  <c r="T593" i="6"/>
  <c r="T588" i="5"/>
  <c r="O194"/>
  <c r="W194"/>
  <c r="V209" i="6"/>
  <c r="V204" i="5"/>
  <c r="W631" i="6"/>
  <c r="O631"/>
  <c r="V566"/>
  <c r="V561" i="5"/>
  <c r="T615" i="6"/>
  <c r="T610" i="5"/>
  <c r="T245"/>
  <c r="T250" i="6"/>
  <c r="I83"/>
  <c r="H78" i="5"/>
  <c r="AB209" i="6"/>
  <c r="K204" i="5"/>
  <c r="L209" i="6"/>
  <c r="AB204" i="5"/>
  <c r="CP35" i="1"/>
  <c r="O35" s="1"/>
  <c r="K94" i="5"/>
  <c r="L99" i="6"/>
  <c r="V214"/>
  <c r="L221" s="1"/>
  <c r="V209" i="5"/>
  <c r="K216" s="1"/>
  <c r="GK78" i="1"/>
  <c r="L181" i="6"/>
  <c r="K176" i="5"/>
  <c r="GK88" i="1"/>
  <c r="K239" i="5"/>
  <c r="L244" i="6"/>
  <c r="V200"/>
  <c r="L207" s="1"/>
  <c r="V195" i="5"/>
  <c r="K202" s="1"/>
  <c r="V262" i="6"/>
  <c r="L268" s="1"/>
  <c r="V257" i="5"/>
  <c r="K263" s="1"/>
  <c r="T53" i="6"/>
  <c r="L58" s="1"/>
  <c r="T48" i="5"/>
  <c r="K53" s="1"/>
  <c r="K284" i="6"/>
  <c r="P284" s="1"/>
  <c r="J279" i="5"/>
  <c r="P279" s="1"/>
  <c r="K321" i="6"/>
  <c r="P321" s="1"/>
  <c r="J316" i="5"/>
  <c r="P316" s="1"/>
  <c r="I416" i="6"/>
  <c r="H411" i="5"/>
  <c r="K324" i="6"/>
  <c r="P324" s="1"/>
  <c r="J319" i="5"/>
  <c r="P319" s="1"/>
  <c r="V45" i="6"/>
  <c r="L50" s="1"/>
  <c r="V40" i="5"/>
  <c r="K45" s="1"/>
  <c r="V62" i="6"/>
  <c r="L68" s="1"/>
  <c r="V57" i="5"/>
  <c r="K63" s="1"/>
  <c r="V305" i="6"/>
  <c r="V300" i="5"/>
  <c r="T282" i="6"/>
  <c r="T277" i="5"/>
  <c r="T319" i="6"/>
  <c r="T314" i="5"/>
  <c r="T122" i="6"/>
  <c r="L127" s="1"/>
  <c r="T117" i="5"/>
  <c r="K122" s="1"/>
  <c r="K239" i="6"/>
  <c r="P239" s="1"/>
  <c r="J234" i="5"/>
  <c r="P234" s="1"/>
  <c r="L458" i="6"/>
  <c r="K453" i="5"/>
  <c r="L514" i="6"/>
  <c r="K509" i="5"/>
  <c r="T590" i="6"/>
  <c r="T585" i="5"/>
  <c r="CY188" i="1"/>
  <c r="X188" s="1"/>
  <c r="L673" i="6"/>
  <c r="K668" i="5"/>
  <c r="K617" i="6"/>
  <c r="P617" s="1"/>
  <c r="J612" i="5"/>
  <c r="P612" s="1"/>
  <c r="T613" i="6"/>
  <c r="T608" i="5"/>
  <c r="T618" i="6"/>
  <c r="T613" i="5"/>
  <c r="T629" i="6"/>
  <c r="T624" i="5"/>
  <c r="V354" i="6"/>
  <c r="L358" s="1"/>
  <c r="V349" i="5"/>
  <c r="K353" s="1"/>
  <c r="L613" i="6"/>
  <c r="AB613"/>
  <c r="K608" i="5"/>
  <c r="AB608"/>
  <c r="V453" i="6"/>
  <c r="L460" s="1"/>
  <c r="V448" i="5"/>
  <c r="K455" s="1"/>
  <c r="V403" i="6"/>
  <c r="L410" s="1"/>
  <c r="V398" i="5"/>
  <c r="K405" s="1"/>
  <c r="V473" i="6"/>
  <c r="V468" i="5"/>
  <c r="V659" i="6"/>
  <c r="L666" s="1"/>
  <c r="V654" i="5"/>
  <c r="K661" s="1"/>
  <c r="K592" i="6"/>
  <c r="P592" s="1"/>
  <c r="J587" i="5"/>
  <c r="P587" s="1"/>
  <c r="V182"/>
  <c r="V187" i="6"/>
  <c r="V570"/>
  <c r="L576" s="1"/>
  <c r="V565" i="5"/>
  <c r="K571" s="1"/>
  <c r="V632" i="6"/>
  <c r="L638" s="1"/>
  <c r="V627" i="5"/>
  <c r="K633" s="1"/>
  <c r="V386" i="6"/>
  <c r="L390" s="1"/>
  <c r="V381" i="5"/>
  <c r="K385" s="1"/>
  <c r="V649" i="6"/>
  <c r="L656" s="1"/>
  <c r="V644" i="5"/>
  <c r="K651" s="1"/>
  <c r="T361" i="6"/>
  <c r="L366" s="1"/>
  <c r="T356" i="5"/>
  <c r="K361" s="1"/>
  <c r="T413" i="6"/>
  <c r="L419" s="1"/>
  <c r="T408" i="5"/>
  <c r="K414" s="1"/>
  <c r="T463" i="6"/>
  <c r="L469" s="1"/>
  <c r="T458" i="5"/>
  <c r="K464" s="1"/>
  <c r="V558" i="6"/>
  <c r="L563" s="1"/>
  <c r="V553" i="5"/>
  <c r="K558" s="1"/>
  <c r="V641" i="6"/>
  <c r="L646" s="1"/>
  <c r="V636" i="5"/>
  <c r="K641" s="1"/>
  <c r="CR29" i="1"/>
  <c r="Q29" s="1"/>
  <c r="I47" i="6"/>
  <c r="H42" i="5"/>
  <c r="GK39" i="1"/>
  <c r="L135" i="6"/>
  <c r="K130" i="5"/>
  <c r="L188" i="6"/>
  <c r="K183" i="5"/>
  <c r="L232" i="6"/>
  <c r="K227" i="5"/>
  <c r="L264" i="6"/>
  <c r="K259" i="5"/>
  <c r="L323" i="6"/>
  <c r="K318" i="5"/>
  <c r="CR143" i="1"/>
  <c r="Q143" s="1"/>
  <c r="I364" i="6"/>
  <c r="H359" i="5"/>
  <c r="M378" i="6"/>
  <c r="Q378" s="1"/>
  <c r="M377"/>
  <c r="L373" i="5"/>
  <c r="Q373" s="1"/>
  <c r="L372"/>
  <c r="M411" i="6"/>
  <c r="M412"/>
  <c r="Q412" s="1"/>
  <c r="L406" i="5"/>
  <c r="L407"/>
  <c r="Q407" s="1"/>
  <c r="L415" i="6"/>
  <c r="K410" i="5"/>
  <c r="L435" i="6"/>
  <c r="K430" i="5"/>
  <c r="L521" i="6"/>
  <c r="K516" i="5"/>
  <c r="CR167" i="1"/>
  <c r="Q167" s="1"/>
  <c r="I543" i="6"/>
  <c r="H538" i="5"/>
  <c r="CR173" i="1"/>
  <c r="Q173" s="1"/>
  <c r="I582" i="6"/>
  <c r="H577" i="5"/>
  <c r="L64" i="6"/>
  <c r="K59" i="5"/>
  <c r="L108" i="6"/>
  <c r="K103" i="5"/>
  <c r="I243" i="6"/>
  <c r="H238" i="5"/>
  <c r="L331" i="6"/>
  <c r="K326" i="5"/>
  <c r="L455" i="6"/>
  <c r="K450" i="5"/>
  <c r="L465" i="6"/>
  <c r="K460" i="5"/>
  <c r="CR157" i="1"/>
  <c r="Q157" s="1"/>
  <c r="I479" i="6"/>
  <c r="H474" i="5"/>
  <c r="CR184" i="1"/>
  <c r="Q184" s="1"/>
  <c r="I634" i="6"/>
  <c r="H629" i="5"/>
  <c r="L642" i="6"/>
  <c r="K637" i="5"/>
  <c r="L661" i="6"/>
  <c r="K656" i="5"/>
  <c r="CR32" i="1"/>
  <c r="Q32" s="1"/>
  <c r="I74" i="6"/>
  <c r="H69" i="5"/>
  <c r="K110"/>
  <c r="L115" i="6"/>
  <c r="CR40" i="1"/>
  <c r="Q40" s="1"/>
  <c r="H139" i="5"/>
  <c r="I144" i="6"/>
  <c r="L256"/>
  <c r="K251" i="5"/>
  <c r="L273" i="6"/>
  <c r="K268" i="5"/>
  <c r="L418" i="6"/>
  <c r="K413" i="5"/>
  <c r="CR154" i="1"/>
  <c r="Q154" s="1"/>
  <c r="I456" i="6"/>
  <c r="H451" i="5"/>
  <c r="CR155" i="1"/>
  <c r="Q155" s="1"/>
  <c r="I466" i="6"/>
  <c r="H461" i="5"/>
  <c r="GK160" i="1"/>
  <c r="L494" i="6"/>
  <c r="K489" i="5"/>
  <c r="CR181" i="1"/>
  <c r="Q181" s="1"/>
  <c r="I621" i="6"/>
  <c r="H616" i="5"/>
  <c r="L636" i="6"/>
  <c r="K631" i="5"/>
  <c r="L54" i="6"/>
  <c r="K49" i="5"/>
  <c r="L116" i="6"/>
  <c r="K111" i="5"/>
  <c r="L193" i="6"/>
  <c r="K188" i="5"/>
  <c r="L291" i="6"/>
  <c r="K286" i="5"/>
  <c r="GK143" i="1"/>
  <c r="L365" i="6"/>
  <c r="K360" i="5"/>
  <c r="CR147" i="1"/>
  <c r="Q147" s="1"/>
  <c r="I396" i="6"/>
  <c r="H391" i="5"/>
  <c r="GK152" i="1"/>
  <c r="L437" i="6"/>
  <c r="K432" i="5"/>
  <c r="L511" i="6"/>
  <c r="K506" i="5"/>
  <c r="L552" i="6"/>
  <c r="K547" i="5"/>
  <c r="L591" i="6"/>
  <c r="K586" i="5"/>
  <c r="W617" i="6"/>
  <c r="O617"/>
  <c r="L633"/>
  <c r="K628" i="5"/>
  <c r="M678" i="6"/>
  <c r="Q678" s="1"/>
  <c r="M677"/>
  <c r="L672" i="5"/>
  <c r="L673"/>
  <c r="Q673" s="1"/>
  <c r="L503" i="6"/>
  <c r="K498" i="5"/>
  <c r="L651" i="6"/>
  <c r="K646" i="5"/>
  <c r="L671" i="6"/>
  <c r="K666" i="5"/>
  <c r="G107"/>
  <c r="G221"/>
  <c r="H52" i="6"/>
  <c r="H226"/>
  <c r="H321"/>
  <c r="H327"/>
  <c r="H369"/>
  <c r="AA518"/>
  <c r="H583" i="5"/>
  <c r="S583"/>
  <c r="H604" i="6"/>
  <c r="I624"/>
  <c r="G626" i="5"/>
  <c r="G663"/>
  <c r="G231"/>
  <c r="H272"/>
  <c r="H392" i="6"/>
  <c r="H557"/>
  <c r="H622" i="5"/>
  <c r="AA627" i="6"/>
  <c r="U622" i="5"/>
  <c r="H620" s="1"/>
  <c r="G623" s="1"/>
  <c r="H88" i="6"/>
  <c r="H284"/>
  <c r="H477" i="5"/>
  <c r="H678" i="6"/>
  <c r="T37"/>
  <c r="L41" s="1"/>
  <c r="T32" i="5"/>
  <c r="K36" s="1"/>
  <c r="T84"/>
  <c r="K87" s="1"/>
  <c r="T89" i="6"/>
  <c r="L92" s="1"/>
  <c r="CR36" i="1"/>
  <c r="Q36" s="1"/>
  <c r="I107" i="6"/>
  <c r="H102" i="5"/>
  <c r="AH42" i="1"/>
  <c r="M130" i="6"/>
  <c r="Q130" s="1"/>
  <c r="M129"/>
  <c r="L125" i="5"/>
  <c r="Q125" s="1"/>
  <c r="L124"/>
  <c r="GK86" i="1"/>
  <c r="L231" i="6"/>
  <c r="K226" i="5"/>
  <c r="CP98" i="1"/>
  <c r="O98" s="1"/>
  <c r="L306" i="6"/>
  <c r="K301" i="5"/>
  <c r="GK40" i="1"/>
  <c r="L145" i="6"/>
  <c r="K140" i="5"/>
  <c r="L179" i="6"/>
  <c r="K174" i="5"/>
  <c r="K237"/>
  <c r="L242" i="6"/>
  <c r="T209"/>
  <c r="T204" i="5"/>
  <c r="T211" i="6"/>
  <c r="T206" i="5"/>
  <c r="T214" i="6"/>
  <c r="L220" s="1"/>
  <c r="T209" i="5"/>
  <c r="K215" s="1"/>
  <c r="T104" i="6"/>
  <c r="L109" s="1"/>
  <c r="T99" i="5"/>
  <c r="K104" s="1"/>
  <c r="K189" i="6"/>
  <c r="P189" s="1"/>
  <c r="J184" i="5"/>
  <c r="P184" s="1"/>
  <c r="J247"/>
  <c r="P247" s="1"/>
  <c r="K252" i="6"/>
  <c r="P252" s="1"/>
  <c r="T113"/>
  <c r="L118" s="1"/>
  <c r="T108" i="5"/>
  <c r="K113" s="1"/>
  <c r="K327" i="6"/>
  <c r="P327" s="1"/>
  <c r="J322" i="5"/>
  <c r="P322" s="1"/>
  <c r="I608" i="6"/>
  <c r="H603" i="5"/>
  <c r="V271" i="6"/>
  <c r="V266" i="5"/>
  <c r="V131" i="6"/>
  <c r="L138" s="1"/>
  <c r="V126" i="5"/>
  <c r="K133" s="1"/>
  <c r="M249" i="6"/>
  <c r="Q249" s="1"/>
  <c r="L243" i="5"/>
  <c r="M248" i="6"/>
  <c r="L244" i="5"/>
  <c r="Q244" s="1"/>
  <c r="V292"/>
  <c r="K297" s="1"/>
  <c r="V297" i="6"/>
  <c r="L302" s="1"/>
  <c r="K226"/>
  <c r="P226" s="1"/>
  <c r="J221" i="5"/>
  <c r="P221" s="1"/>
  <c r="T308" i="6"/>
  <c r="L312" s="1"/>
  <c r="K315" s="1"/>
  <c r="P315" s="1"/>
  <c r="T303" i="5"/>
  <c r="K307" s="1"/>
  <c r="J310" s="1"/>
  <c r="P310" s="1"/>
  <c r="T325" i="6"/>
  <c r="T320" i="5"/>
  <c r="I599" i="6"/>
  <c r="H594" i="5"/>
  <c r="T80" i="6"/>
  <c r="L85" s="1"/>
  <c r="T75" i="5"/>
  <c r="K80" s="1"/>
  <c r="GK144" i="1"/>
  <c r="L374" i="6"/>
  <c r="K369" i="5"/>
  <c r="AB485" i="6"/>
  <c r="L485"/>
  <c r="AB480" i="5"/>
  <c r="K480"/>
  <c r="CP169" i="1"/>
  <c r="O169" s="1"/>
  <c r="L560" i="6"/>
  <c r="K555" i="5"/>
  <c r="S174" i="1"/>
  <c r="F588" i="6"/>
  <c r="E583" i="5"/>
  <c r="CP181" i="1"/>
  <c r="O181" s="1"/>
  <c r="L623" i="6"/>
  <c r="K618" i="5"/>
  <c r="V96" i="6"/>
  <c r="L101" s="1"/>
  <c r="V91" i="5"/>
  <c r="K96" s="1"/>
  <c r="T443" i="6"/>
  <c r="L449" s="1"/>
  <c r="K452" s="1"/>
  <c r="P452" s="1"/>
  <c r="T438" i="5"/>
  <c r="K444" s="1"/>
  <c r="V487" i="6"/>
  <c r="V482" i="5"/>
  <c r="V531" i="6"/>
  <c r="L537" s="1"/>
  <c r="V526" i="5"/>
  <c r="K532" s="1"/>
  <c r="T509" i="6"/>
  <c r="T504" i="5"/>
  <c r="V615" i="6"/>
  <c r="V610" i="5"/>
  <c r="T423" i="6"/>
  <c r="L429" s="1"/>
  <c r="T418" i="5"/>
  <c r="K424" s="1"/>
  <c r="V540" i="6"/>
  <c r="L546" s="1"/>
  <c r="V535" i="5"/>
  <c r="K541" s="1"/>
  <c r="T566" i="6"/>
  <c r="T561" i="5"/>
  <c r="V579" i="6"/>
  <c r="V574" i="5"/>
  <c r="V549" i="6"/>
  <c r="L555" s="1"/>
  <c r="V544" i="5"/>
  <c r="K550" s="1"/>
  <c r="V605" i="6"/>
  <c r="V600" i="5"/>
  <c r="V490" i="6"/>
  <c r="L497" s="1"/>
  <c r="V485" i="5"/>
  <c r="K492" s="1"/>
  <c r="V250" i="6"/>
  <c r="V245" i="5"/>
  <c r="T345" i="6"/>
  <c r="L350" s="1"/>
  <c r="T340" i="5"/>
  <c r="K345" s="1"/>
  <c r="T485" i="6"/>
  <c r="T480" i="5"/>
  <c r="V379" i="6"/>
  <c r="L383" s="1"/>
  <c r="V374" i="5"/>
  <c r="K378" s="1"/>
  <c r="T433" i="6"/>
  <c r="L439" s="1"/>
  <c r="T428" i="5"/>
  <c r="K434" s="1"/>
  <c r="T500" i="6"/>
  <c r="L505" s="1"/>
  <c r="T495" i="5"/>
  <c r="K500" s="1"/>
  <c r="T523" i="6"/>
  <c r="L527" s="1"/>
  <c r="T518" i="5"/>
  <c r="K522" s="1"/>
  <c r="T596" i="6"/>
  <c r="L601" s="1"/>
  <c r="T591" i="5"/>
  <c r="K596" s="1"/>
  <c r="T520" i="6"/>
  <c r="T515" i="5"/>
  <c r="CR31" i="1"/>
  <c r="Q31" s="1"/>
  <c r="I65" i="6"/>
  <c r="H60" i="5"/>
  <c r="GK38" i="1"/>
  <c r="L126" i="6"/>
  <c r="K121" i="5"/>
  <c r="L162" i="6"/>
  <c r="K157" i="5"/>
  <c r="CZ80" i="1"/>
  <c r="Y80" s="1"/>
  <c r="L192" i="6"/>
  <c r="K187" i="5"/>
  <c r="CY80" i="1"/>
  <c r="X80" s="1"/>
  <c r="L202" i="6"/>
  <c r="K197" i="5"/>
  <c r="V308" i="6"/>
  <c r="L313" s="1"/>
  <c r="V303" i="5"/>
  <c r="K308" s="1"/>
  <c r="K327"/>
  <c r="L332" i="6"/>
  <c r="F122" i="1"/>
  <c r="BC74"/>
  <c r="CR151"/>
  <c r="Q151" s="1"/>
  <c r="I426" i="6"/>
  <c r="H421" i="5"/>
  <c r="L478" i="6"/>
  <c r="K473" i="5"/>
  <c r="L492" i="6"/>
  <c r="K487" i="5"/>
  <c r="GK172" i="1"/>
  <c r="L574" i="6"/>
  <c r="K569" i="5"/>
  <c r="L46" i="6"/>
  <c r="K41" i="5"/>
  <c r="GK33" i="1"/>
  <c r="L84" i="6"/>
  <c r="K79" i="5"/>
  <c r="L133" i="6"/>
  <c r="K128" i="5"/>
  <c r="GK84" i="1"/>
  <c r="L218" i="6"/>
  <c r="K213" i="5"/>
  <c r="CR86" i="1"/>
  <c r="Q86" s="1"/>
  <c r="I230" i="6"/>
  <c r="H225" i="5"/>
  <c r="CR92" i="1"/>
  <c r="Q92" s="1"/>
  <c r="I274" i="6"/>
  <c r="H269" i="5"/>
  <c r="L349" i="6"/>
  <c r="K344" i="5"/>
  <c r="L395" i="6"/>
  <c r="K390" i="5"/>
  <c r="L502" i="6"/>
  <c r="K497" i="5"/>
  <c r="L581" i="6"/>
  <c r="K576" i="5"/>
  <c r="L594" i="6"/>
  <c r="K589" i="5"/>
  <c r="CR28" i="1"/>
  <c r="Q28" s="1"/>
  <c r="I39" i="6"/>
  <c r="H34" i="5"/>
  <c r="CP30" i="1"/>
  <c r="O30" s="1"/>
  <c r="L55" i="6"/>
  <c r="K50" i="5"/>
  <c r="GK77" i="1"/>
  <c r="L171" i="6"/>
  <c r="K166" i="5"/>
  <c r="CP83" i="1"/>
  <c r="O83" s="1"/>
  <c r="L212" i="6"/>
  <c r="K207" i="5"/>
  <c r="CP97" i="1"/>
  <c r="O97" s="1"/>
  <c r="L300" i="6"/>
  <c r="K295" i="5"/>
  <c r="CY32" i="1"/>
  <c r="X32" s="1"/>
  <c r="L75" i="6"/>
  <c r="K70" i="5"/>
  <c r="V157" i="6"/>
  <c r="L164" s="1"/>
  <c r="V152" i="5"/>
  <c r="K159" s="1"/>
  <c r="V224" i="6"/>
  <c r="V219" i="5"/>
  <c r="L180" i="6"/>
  <c r="K175" i="5"/>
  <c r="V211" i="6"/>
  <c r="V206" i="5"/>
  <c r="T157" i="6"/>
  <c r="L163" s="1"/>
  <c r="T152" i="5"/>
  <c r="K158" s="1"/>
  <c r="T224" i="6"/>
  <c r="T219" i="5"/>
  <c r="L372" i="6"/>
  <c r="K367" i="5"/>
  <c r="L182" i="6"/>
  <c r="K177" i="5"/>
  <c r="L245" i="6"/>
  <c r="K240" i="5"/>
  <c r="V53" i="6"/>
  <c r="L59" s="1"/>
  <c r="V48" i="5"/>
  <c r="K54" s="1"/>
  <c r="K287" i="6"/>
  <c r="P287" s="1"/>
  <c r="J282" i="5"/>
  <c r="P282" s="1"/>
  <c r="K318" i="6"/>
  <c r="P318" s="1"/>
  <c r="J313" i="5"/>
  <c r="P313" s="1"/>
  <c r="P163" i="1"/>
  <c r="F518" i="6"/>
  <c r="E513" i="5"/>
  <c r="P182" i="1"/>
  <c r="F627" i="6"/>
  <c r="E622" i="5"/>
  <c r="F280" i="6"/>
  <c r="E275" i="5"/>
  <c r="M185" i="6"/>
  <c r="L181" i="5"/>
  <c r="Q181" s="1"/>
  <c r="L333" s="1"/>
  <c r="M186" i="6"/>
  <c r="Q186" s="1"/>
  <c r="M338" s="1"/>
  <c r="L180" i="5"/>
  <c r="T297" i="6"/>
  <c r="L301" s="1"/>
  <c r="T292" i="5"/>
  <c r="K296" s="1"/>
  <c r="T305" i="6"/>
  <c r="T300" i="5"/>
  <c r="CR76" i="1"/>
  <c r="Q76" s="1"/>
  <c r="I160" i="6"/>
  <c r="H155" i="5"/>
  <c r="CR84" i="1"/>
  <c r="Q84" s="1"/>
  <c r="I217" i="6"/>
  <c r="H212" i="5"/>
  <c r="T285" i="6"/>
  <c r="T280" i="5"/>
  <c r="T316" i="6"/>
  <c r="T311" i="5"/>
  <c r="T322" i="6"/>
  <c r="T317" i="5"/>
  <c r="I406" i="6"/>
  <c r="H401" i="5"/>
  <c r="M360" i="6"/>
  <c r="Q360" s="1"/>
  <c r="M359"/>
  <c r="L355" i="5"/>
  <c r="Q355" s="1"/>
  <c r="L354"/>
  <c r="GK147" i="1"/>
  <c r="L397" i="6"/>
  <c r="K392" i="5"/>
  <c r="L480" i="6"/>
  <c r="K475" i="5"/>
  <c r="K489" i="6"/>
  <c r="P489" s="1"/>
  <c r="J484" i="5"/>
  <c r="P484" s="1"/>
  <c r="CP166" i="1"/>
  <c r="O166" s="1"/>
  <c r="L534" i="6"/>
  <c r="K529" i="5"/>
  <c r="L654" i="6"/>
  <c r="K649" i="5"/>
  <c r="T96" i="6"/>
  <c r="L100" s="1"/>
  <c r="K103" s="1"/>
  <c r="P103" s="1"/>
  <c r="T91" i="5"/>
  <c r="K95" s="1"/>
  <c r="V443" i="6"/>
  <c r="L450" s="1"/>
  <c r="V438" i="5"/>
  <c r="K445" s="1"/>
  <c r="V613" i="6"/>
  <c r="V608" i="5"/>
  <c r="T531" i="6"/>
  <c r="L536" s="1"/>
  <c r="K539" s="1"/>
  <c r="P539" s="1"/>
  <c r="T526" i="5"/>
  <c r="K531" s="1"/>
  <c r="V618" i="6"/>
  <c r="V613" i="5"/>
  <c r="V629" i="6"/>
  <c r="V624" i="5"/>
  <c r="V509" i="6"/>
  <c r="V504" i="5"/>
  <c r="T354" i="6"/>
  <c r="L357" s="1"/>
  <c r="T349" i="5"/>
  <c r="K352" s="1"/>
  <c r="V423" i="6"/>
  <c r="L430" s="1"/>
  <c r="V418" i="5"/>
  <c r="K425" s="1"/>
  <c r="T540" i="6"/>
  <c r="L545" s="1"/>
  <c r="T535" i="5"/>
  <c r="K540" s="1"/>
  <c r="T403" i="6"/>
  <c r="L409" s="1"/>
  <c r="T398" i="5"/>
  <c r="K404" s="1"/>
  <c r="T473" i="6"/>
  <c r="T468" i="5"/>
  <c r="T187" i="6"/>
  <c r="T182" i="5"/>
  <c r="T549" i="6"/>
  <c r="L554" s="1"/>
  <c r="K557" s="1"/>
  <c r="P557" s="1"/>
  <c r="T544" i="5"/>
  <c r="K549" s="1"/>
  <c r="J552" s="1"/>
  <c r="P552" s="1"/>
  <c r="T605" i="6"/>
  <c r="L610" s="1"/>
  <c r="T600" i="5"/>
  <c r="K605" s="1"/>
  <c r="T632" i="6"/>
  <c r="L637" s="1"/>
  <c r="T627" i="5"/>
  <c r="K632" s="1"/>
  <c r="T649" i="6"/>
  <c r="L655" s="1"/>
  <c r="T644" i="5"/>
  <c r="K650" s="1"/>
  <c r="K475" i="6"/>
  <c r="P475" s="1"/>
  <c r="J470" i="5"/>
  <c r="P470" s="1"/>
  <c r="V361" i="6"/>
  <c r="L367" s="1"/>
  <c r="V356" i="5"/>
  <c r="K362" s="1"/>
  <c r="T379" i="6"/>
  <c r="L382" s="1"/>
  <c r="K385" s="1"/>
  <c r="P385" s="1"/>
  <c r="T374" i="5"/>
  <c r="K377" s="1"/>
  <c r="J380" s="1"/>
  <c r="P380" s="1"/>
  <c r="V523" i="6"/>
  <c r="L528" s="1"/>
  <c r="V518" i="5"/>
  <c r="K523" s="1"/>
  <c r="T558" i="6"/>
  <c r="L562" s="1"/>
  <c r="T553" i="5"/>
  <c r="K557" s="1"/>
  <c r="V596" i="6"/>
  <c r="L602" s="1"/>
  <c r="V591" i="5"/>
  <c r="K597" s="1"/>
  <c r="V520" i="6"/>
  <c r="V515" i="5"/>
  <c r="CZ28" i="1"/>
  <c r="Y28" s="1"/>
  <c r="K33" i="5"/>
  <c r="L38" i="6"/>
  <c r="GK29" i="1"/>
  <c r="L48" i="6"/>
  <c r="K43" i="5"/>
  <c r="M69" i="6"/>
  <c r="L64" i="5"/>
  <c r="M70" i="6"/>
  <c r="Q70" s="1"/>
  <c r="L65" i="5"/>
  <c r="Q65" s="1"/>
  <c r="L98" i="6"/>
  <c r="K93" i="5"/>
  <c r="CR39" i="1"/>
  <c r="Q39" s="1"/>
  <c r="I134" i="6"/>
  <c r="H129" i="5"/>
  <c r="L172" i="6"/>
  <c r="K167" i="5"/>
  <c r="CP80" i="1"/>
  <c r="O80" s="1"/>
  <c r="L195" i="6"/>
  <c r="K190" i="5"/>
  <c r="L219" i="6"/>
  <c r="K214" i="5"/>
  <c r="L251" i="6"/>
  <c r="K246" i="5"/>
  <c r="CZ90" i="1"/>
  <c r="Y90" s="1"/>
  <c r="L255" i="6"/>
  <c r="K250" i="5"/>
  <c r="CY90" i="1"/>
  <c r="X90" s="1"/>
  <c r="L276" i="6"/>
  <c r="K271" i="5"/>
  <c r="L283" i="6"/>
  <c r="K278" i="5"/>
  <c r="L317" i="6"/>
  <c r="K312" i="5"/>
  <c r="AO74" i="1"/>
  <c r="F110"/>
  <c r="L381" i="6"/>
  <c r="K376" i="5"/>
  <c r="M432" i="6"/>
  <c r="Q432" s="1"/>
  <c r="M431"/>
  <c r="L426" i="5"/>
  <c r="L427"/>
  <c r="Q427" s="1"/>
  <c r="L425" i="6"/>
  <c r="K420" i="5"/>
  <c r="CR152" i="1"/>
  <c r="Q152" s="1"/>
  <c r="I436" i="6"/>
  <c r="H431" i="5"/>
  <c r="M461" i="6"/>
  <c r="M462"/>
  <c r="Q462" s="1"/>
  <c r="L456" i="5"/>
  <c r="L457"/>
  <c r="Q457" s="1"/>
  <c r="CR160" i="1"/>
  <c r="Q160" s="1"/>
  <c r="I493" i="6"/>
  <c r="H488" i="5"/>
  <c r="L525" i="6"/>
  <c r="K520" i="5"/>
  <c r="L533" i="6"/>
  <c r="K528" i="5"/>
  <c r="L542" i="6"/>
  <c r="K537" i="5"/>
  <c r="L559" i="6"/>
  <c r="K554" i="5"/>
  <c r="CR172" i="1"/>
  <c r="Q172" s="1"/>
  <c r="I573" i="6"/>
  <c r="H568" i="5"/>
  <c r="M578" i="6"/>
  <c r="Q578" s="1"/>
  <c r="M577"/>
  <c r="L572" i="5"/>
  <c r="L573"/>
  <c r="Q573" s="1"/>
  <c r="GK173" i="1"/>
  <c r="L583" i="6"/>
  <c r="K578" i="5"/>
  <c r="GK28" i="1"/>
  <c r="K35" i="5"/>
  <c r="L40" i="6"/>
  <c r="CR38" i="1"/>
  <c r="Q38" s="1"/>
  <c r="I125" i="6"/>
  <c r="H120" i="5"/>
  <c r="GK76" i="1"/>
  <c r="L161" i="6"/>
  <c r="K156" i="5"/>
  <c r="CR77" i="1"/>
  <c r="Q77" s="1"/>
  <c r="I170" i="6"/>
  <c r="H165" i="5"/>
  <c r="L408" i="6"/>
  <c r="K403" i="5"/>
  <c r="L405" i="6"/>
  <c r="K400" i="5"/>
  <c r="GK150" i="1"/>
  <c r="L417" i="6"/>
  <c r="K412" i="5"/>
  <c r="L468" i="6"/>
  <c r="K463" i="5"/>
  <c r="L474" i="6"/>
  <c r="K469" i="5"/>
  <c r="CR162" i="1"/>
  <c r="Q162" s="1"/>
  <c r="I512" i="6"/>
  <c r="H507" i="5"/>
  <c r="L609" i="6"/>
  <c r="K604" i="5"/>
  <c r="L620" i="6"/>
  <c r="K615" i="5"/>
  <c r="CR186" i="1"/>
  <c r="Q186" s="1"/>
  <c r="CP186" s="1"/>
  <c r="O186" s="1"/>
  <c r="I652" i="6"/>
  <c r="H647" i="5"/>
  <c r="L664" i="6"/>
  <c r="K659" i="5"/>
  <c r="CR188" i="1"/>
  <c r="Q188" s="1"/>
  <c r="I672" i="6"/>
  <c r="H667" i="5"/>
  <c r="I180" i="6"/>
  <c r="H175" i="5"/>
  <c r="L299" i="6"/>
  <c r="K294" i="5"/>
  <c r="L348" i="6"/>
  <c r="K343" i="5"/>
  <c r="GK149" i="1"/>
  <c r="L407" i="6"/>
  <c r="K402" i="5"/>
  <c r="L445" i="6"/>
  <c r="K440" i="5"/>
  <c r="CP157" i="1"/>
  <c r="O157" s="1"/>
  <c r="L481" i="6"/>
  <c r="K476" i="5"/>
  <c r="GK167" i="1"/>
  <c r="L544" i="6"/>
  <c r="K539" i="5"/>
  <c r="L551" i="6"/>
  <c r="K546" i="5"/>
  <c r="BC26" i="1"/>
  <c r="F58"/>
  <c r="L82" i="6"/>
  <c r="K77" i="5"/>
  <c r="K198"/>
  <c r="L203" i="6"/>
  <c r="K260" i="5"/>
  <c r="L265" i="6"/>
  <c r="L347"/>
  <c r="K342" i="5"/>
  <c r="L356" i="6"/>
  <c r="K351" i="5"/>
  <c r="CR144" i="1"/>
  <c r="Q144" s="1"/>
  <c r="I373" i="6"/>
  <c r="H368" i="5"/>
  <c r="GK151" i="1"/>
  <c r="L427" i="6"/>
  <c r="K422" i="5"/>
  <c r="L446" i="6"/>
  <c r="K441" i="5"/>
  <c r="L526" i="6"/>
  <c r="K521" i="5"/>
  <c r="V89" i="6"/>
  <c r="L93" s="1"/>
  <c r="V84" i="5"/>
  <c r="K88" s="1"/>
  <c r="CP188" i="1"/>
  <c r="O188" s="1"/>
  <c r="L674" i="6"/>
  <c r="K669" i="5"/>
  <c r="AU26" i="1"/>
  <c r="F61"/>
  <c r="CR185"/>
  <c r="Q185" s="1"/>
  <c r="I643" i="6"/>
  <c r="H638" i="5"/>
  <c r="CR187" i="1"/>
  <c r="Q187" s="1"/>
  <c r="I662" i="6"/>
  <c r="H657" i="5"/>
  <c r="AI106" i="1"/>
  <c r="G599" i="5"/>
  <c r="H614" i="6"/>
  <c r="H432"/>
  <c r="H580" i="5"/>
  <c r="I588" i="6"/>
  <c r="AB29" i="1"/>
  <c r="AB40"/>
  <c r="AG42"/>
  <c r="CP37"/>
  <c r="O37" s="1"/>
  <c r="CP38"/>
  <c r="O38" s="1"/>
  <c r="CP81"/>
  <c r="O81" s="1"/>
  <c r="CP91"/>
  <c r="O91" s="1"/>
  <c r="CJ106"/>
  <c r="CP143"/>
  <c r="O143" s="1"/>
  <c r="CR88"/>
  <c r="Q88" s="1"/>
  <c r="CZ36"/>
  <c r="Y36" s="1"/>
  <c r="CY81"/>
  <c r="X81" s="1"/>
  <c r="CY91"/>
  <c r="X91" s="1"/>
  <c r="CZ37"/>
  <c r="Y37" s="1"/>
  <c r="CY87"/>
  <c r="X87" s="1"/>
  <c r="AB157"/>
  <c r="AB95"/>
  <c r="AB100"/>
  <c r="CP104"/>
  <c r="O104" s="1"/>
  <c r="CY29"/>
  <c r="X29" s="1"/>
  <c r="CY31"/>
  <c r="X31" s="1"/>
  <c r="CY39"/>
  <c r="X39" s="1"/>
  <c r="AB184"/>
  <c r="CZ33"/>
  <c r="Y33" s="1"/>
  <c r="CZ38"/>
  <c r="Y38" s="1"/>
  <c r="AB84"/>
  <c r="CP86"/>
  <c r="O86" s="1"/>
  <c r="CY92"/>
  <c r="X92" s="1"/>
  <c r="CP170"/>
  <c r="O170" s="1"/>
  <c r="F206"/>
  <c r="V182"/>
  <c r="CY159"/>
  <c r="X159" s="1"/>
  <c r="V163"/>
  <c r="GN90"/>
  <c r="BZ74"/>
  <c r="CP176"/>
  <c r="O176" s="1"/>
  <c r="AB181"/>
  <c r="CY154"/>
  <c r="X154" s="1"/>
  <c r="CY173"/>
  <c r="X173" s="1"/>
  <c r="CY187"/>
  <c r="X187" s="1"/>
  <c r="CY172"/>
  <c r="X172" s="1"/>
  <c r="CY160"/>
  <c r="X160" s="1"/>
  <c r="CZ141"/>
  <c r="Y141" s="1"/>
  <c r="CY146"/>
  <c r="X146" s="1"/>
  <c r="CZ158"/>
  <c r="Y158" s="1"/>
  <c r="GK141"/>
  <c r="CZ150"/>
  <c r="Y150" s="1"/>
  <c r="CZ152"/>
  <c r="Y152" s="1"/>
  <c r="CZ155"/>
  <c r="Y155" s="1"/>
  <c r="CZ161"/>
  <c r="Y161" s="1"/>
  <c r="CY185"/>
  <c r="X185" s="1"/>
  <c r="W313" i="5"/>
  <c r="O517"/>
  <c r="O247"/>
  <c r="G161"/>
  <c r="W437"/>
  <c r="J447"/>
  <c r="P447" s="1"/>
  <c r="G417"/>
  <c r="G83"/>
  <c r="G47"/>
  <c r="W98"/>
  <c r="G427"/>
  <c r="G457"/>
  <c r="G244"/>
  <c r="X244" s="1"/>
  <c r="G39"/>
  <c r="O39" s="1"/>
  <c r="G543"/>
  <c r="G310"/>
  <c r="G74"/>
  <c r="W522" i="6"/>
  <c r="W475"/>
  <c r="W307"/>
  <c r="H422"/>
  <c r="H315"/>
  <c r="O189"/>
  <c r="O239"/>
  <c r="O287"/>
  <c r="G364" i="5"/>
  <c r="AA275"/>
  <c r="AB151" i="1"/>
  <c r="H70" i="6"/>
  <c r="H79"/>
  <c r="H140"/>
  <c r="H149"/>
  <c r="AA280"/>
  <c r="I280"/>
  <c r="G282" i="5"/>
  <c r="H304" i="6"/>
  <c r="G316" i="5"/>
  <c r="G322"/>
  <c r="H401" i="6"/>
  <c r="H442"/>
  <c r="H472"/>
  <c r="G494" i="5"/>
  <c r="H508" i="6"/>
  <c r="H513" i="5"/>
  <c r="I518" i="6"/>
  <c r="U513" i="5"/>
  <c r="U518" i="6"/>
  <c r="I516" s="1"/>
  <c r="I586"/>
  <c r="I585"/>
  <c r="AA583" i="5"/>
  <c r="AA588" i="6"/>
  <c r="U583" i="5"/>
  <c r="H581" s="1"/>
  <c r="U588" i="6"/>
  <c r="H606" i="5"/>
  <c r="G609" s="1"/>
  <c r="H668" i="6"/>
  <c r="H44"/>
  <c r="H121"/>
  <c r="H176"/>
  <c r="H199"/>
  <c r="H201" i="5"/>
  <c r="H236" i="6"/>
  <c r="G265" i="5"/>
  <c r="I277" i="6"/>
  <c r="U275" i="5"/>
  <c r="H273" s="1"/>
  <c r="G276" s="1"/>
  <c r="U280" i="6"/>
  <c r="I278" s="1"/>
  <c r="H318"/>
  <c r="G319" i="5"/>
  <c r="AB152" i="1"/>
  <c r="G447" i="5"/>
  <c r="H530" i="6"/>
  <c r="AB173" i="1"/>
  <c r="AA622" i="5"/>
  <c r="I627" i="6"/>
  <c r="S622" i="5"/>
  <c r="H619" s="1"/>
  <c r="U627" i="6"/>
  <c r="I625" s="1"/>
  <c r="H202" i="5"/>
  <c r="AB167" i="1"/>
  <c r="H261" i="6"/>
  <c r="G279" i="5"/>
  <c r="H336" i="6"/>
  <c r="H478" i="5"/>
  <c r="I482" i="6"/>
  <c r="H486" s="1"/>
  <c r="CP161" i="1"/>
  <c r="O161" s="1"/>
  <c r="GN161" s="1"/>
  <c r="H511" i="5"/>
  <c r="G514" s="1"/>
  <c r="I515" i="6"/>
  <c r="H539"/>
  <c r="M680"/>
  <c r="H658"/>
  <c r="M151"/>
  <c r="W640"/>
  <c r="O640"/>
  <c r="O614"/>
  <c r="W614"/>
  <c r="W578"/>
  <c r="O578"/>
  <c r="W565"/>
  <c r="O565"/>
  <c r="W548"/>
  <c r="O548"/>
  <c r="W486"/>
  <c r="O486"/>
  <c r="W462"/>
  <c r="O462"/>
  <c r="O452"/>
  <c r="W452"/>
  <c r="W422"/>
  <c r="O422"/>
  <c r="O315"/>
  <c r="W315"/>
  <c r="O296"/>
  <c r="W296"/>
  <c r="W186"/>
  <c r="O186"/>
  <c r="O130"/>
  <c r="W130"/>
  <c r="O112"/>
  <c r="W112"/>
  <c r="O95"/>
  <c r="W95"/>
  <c r="X249"/>
  <c r="O249"/>
  <c r="O223"/>
  <c r="W223"/>
  <c r="W534" i="5"/>
  <c r="W355"/>
  <c r="W39"/>
  <c r="O125"/>
  <c r="W299"/>
  <c r="O256"/>
  <c r="O525"/>
  <c r="O244"/>
  <c r="O380"/>
  <c r="O673"/>
  <c r="O552"/>
  <c r="W552"/>
  <c r="W417"/>
  <c r="O417"/>
  <c r="O331"/>
  <c r="W331"/>
  <c r="O467"/>
  <c r="W467"/>
  <c r="O144"/>
  <c r="W144"/>
  <c r="O573"/>
  <c r="W573"/>
  <c r="O643"/>
  <c r="W643"/>
  <c r="W107"/>
  <c r="O107"/>
  <c r="W161"/>
  <c r="O161"/>
  <c r="O47"/>
  <c r="W47"/>
  <c r="O56"/>
  <c r="W56"/>
  <c r="O635"/>
  <c r="W635"/>
  <c r="W171"/>
  <c r="O171"/>
  <c r="O396"/>
  <c r="W396"/>
  <c r="O83"/>
  <c r="W83"/>
  <c r="W387"/>
  <c r="O387"/>
  <c r="W427"/>
  <c r="O427"/>
  <c r="O373"/>
  <c r="W373"/>
  <c r="O457"/>
  <c r="W457"/>
  <c r="O503"/>
  <c r="W503"/>
  <c r="AG26" i="1"/>
  <c r="T42"/>
  <c r="GN95"/>
  <c r="GM95"/>
  <c r="GN170"/>
  <c r="GM170"/>
  <c r="GN30"/>
  <c r="GM30"/>
  <c r="GN35"/>
  <c r="GM35"/>
  <c r="GN94"/>
  <c r="GM94"/>
  <c r="GN169"/>
  <c r="GM169"/>
  <c r="GM79"/>
  <c r="GN79"/>
  <c r="GN103"/>
  <c r="GM103"/>
  <c r="GN85"/>
  <c r="GM85"/>
  <c r="BA106"/>
  <c r="CJ74"/>
  <c r="GN159"/>
  <c r="GM159"/>
  <c r="AP22"/>
  <c r="F229"/>
  <c r="G16" i="2" s="1"/>
  <c r="G18" s="1"/>
  <c r="AP258" i="1"/>
  <c r="GN166"/>
  <c r="GM166"/>
  <c r="AH26"/>
  <c r="U42"/>
  <c r="AI74"/>
  <c r="V106"/>
  <c r="GN101"/>
  <c r="GM101"/>
  <c r="GN158"/>
  <c r="GM158"/>
  <c r="GN100"/>
  <c r="GM100"/>
  <c r="GM89"/>
  <c r="GO89"/>
  <c r="GN99"/>
  <c r="GM99"/>
  <c r="AB149"/>
  <c r="CR149"/>
  <c r="Q149" s="1"/>
  <c r="GN83"/>
  <c r="GM83"/>
  <c r="GN38"/>
  <c r="GM38"/>
  <c r="CR150"/>
  <c r="Q150" s="1"/>
  <c r="AB150"/>
  <c r="AO138"/>
  <c r="AO220"/>
  <c r="F194"/>
  <c r="S93"/>
  <c r="CP93" s="1"/>
  <c r="O93" s="1"/>
  <c r="U93"/>
  <c r="AH106" s="1"/>
  <c r="T93"/>
  <c r="AG106" s="1"/>
  <c r="AB177"/>
  <c r="CR177"/>
  <c r="Q177" s="1"/>
  <c r="AZ190"/>
  <c r="CI138"/>
  <c r="AB36"/>
  <c r="CZ86"/>
  <c r="Y86" s="1"/>
  <c r="AE106"/>
  <c r="CY96"/>
  <c r="X96" s="1"/>
  <c r="R182"/>
  <c r="GK182" s="1"/>
  <c r="W174"/>
  <c r="W163"/>
  <c r="AJ190" s="1"/>
  <c r="Q174"/>
  <c r="BB26"/>
  <c r="BB220"/>
  <c r="F55"/>
  <c r="GN82"/>
  <c r="GM82"/>
  <c r="W42"/>
  <c r="AJ26"/>
  <c r="CD74"/>
  <c r="AU106"/>
  <c r="AB164"/>
  <c r="CR164"/>
  <c r="Q164" s="1"/>
  <c r="CP164" s="1"/>
  <c r="O164" s="1"/>
  <c r="GN181"/>
  <c r="GM181"/>
  <c r="GN145"/>
  <c r="GM145"/>
  <c r="F209"/>
  <c r="AU138"/>
  <c r="AZ106"/>
  <c r="CI74"/>
  <c r="AP138"/>
  <c r="F199"/>
  <c r="CP78"/>
  <c r="O78" s="1"/>
  <c r="CY77"/>
  <c r="X77" s="1"/>
  <c r="AD106"/>
  <c r="CZ96"/>
  <c r="Y96" s="1"/>
  <c r="P174"/>
  <c r="CP174" s="1"/>
  <c r="O174" s="1"/>
  <c r="U174"/>
  <c r="AH190" s="1"/>
  <c r="CP144"/>
  <c r="O144" s="1"/>
  <c r="U182"/>
  <c r="CZ147"/>
  <c r="Y147" s="1"/>
  <c r="GK32"/>
  <c r="AE42"/>
  <c r="GN81"/>
  <c r="GM81"/>
  <c r="GN143"/>
  <c r="GM143"/>
  <c r="AZ42"/>
  <c r="CI26"/>
  <c r="CR146"/>
  <c r="Q146" s="1"/>
  <c r="AB146"/>
  <c r="CR178"/>
  <c r="Q178" s="1"/>
  <c r="AB178"/>
  <c r="F49"/>
  <c r="AX26"/>
  <c r="AB163"/>
  <c r="CR163"/>
  <c r="Q163" s="1"/>
  <c r="CP163" s="1"/>
  <c r="O163" s="1"/>
  <c r="CZ176"/>
  <c r="Y176" s="1"/>
  <c r="GK176"/>
  <c r="AB28"/>
  <c r="CZ77"/>
  <c r="Y77" s="1"/>
  <c r="AB99"/>
  <c r="AB103"/>
  <c r="AC42"/>
  <c r="W93"/>
  <c r="AJ106" s="1"/>
  <c r="CP76"/>
  <c r="O76" s="1"/>
  <c r="R163"/>
  <c r="GK163" s="1"/>
  <c r="GX163"/>
  <c r="CJ190" s="1"/>
  <c r="GX174"/>
  <c r="CY147"/>
  <c r="X147" s="1"/>
  <c r="AF26"/>
  <c r="S42"/>
  <c r="GN102"/>
  <c r="GM102"/>
  <c r="BB138"/>
  <c r="F203"/>
  <c r="CZ163"/>
  <c r="Y163" s="1"/>
  <c r="CY163"/>
  <c r="X163" s="1"/>
  <c r="AP74"/>
  <c r="F115"/>
  <c r="AC106"/>
  <c r="BC22"/>
  <c r="BC258"/>
  <c r="F236"/>
  <c r="CZ175"/>
  <c r="Y175" s="1"/>
  <c r="GK175"/>
  <c r="AT26"/>
  <c r="F60"/>
  <c r="GN97"/>
  <c r="GM97"/>
  <c r="CZ157"/>
  <c r="Y157" s="1"/>
  <c r="GK157"/>
  <c r="GN180"/>
  <c r="GM180"/>
  <c r="F116"/>
  <c r="AQ74"/>
  <c r="F208"/>
  <c r="AT138"/>
  <c r="GN168"/>
  <c r="GM168"/>
  <c r="CY40"/>
  <c r="X40" s="1"/>
  <c r="AB102"/>
  <c r="AB76"/>
  <c r="R174"/>
  <c r="GK174" s="1"/>
  <c r="CY157"/>
  <c r="X157" s="1"/>
  <c r="W182"/>
  <c r="GN98"/>
  <c r="GM98"/>
  <c r="GN153"/>
  <c r="GM153"/>
  <c r="GN179"/>
  <c r="GM179"/>
  <c r="CZ78"/>
  <c r="Y78" s="1"/>
  <c r="CY78"/>
  <c r="X78" s="1"/>
  <c r="AF106"/>
  <c r="AI26"/>
  <c r="V42"/>
  <c r="CZ174"/>
  <c r="Y174" s="1"/>
  <c r="CY174"/>
  <c r="X174" s="1"/>
  <c r="GN37"/>
  <c r="GM37"/>
  <c r="GN91"/>
  <c r="GM91"/>
  <c r="F52"/>
  <c r="AQ26"/>
  <c r="AQ220"/>
  <c r="CP142"/>
  <c r="O142" s="1"/>
  <c r="J355" i="5" s="1"/>
  <c r="P355" s="1"/>
  <c r="CR165" i="1"/>
  <c r="Q165" s="1"/>
  <c r="CP165" s="1"/>
  <c r="O165" s="1"/>
  <c r="AB165"/>
  <c r="CJ26"/>
  <c r="BA42"/>
  <c r="AB183"/>
  <c r="CR183"/>
  <c r="Q183" s="1"/>
  <c r="CP183" s="1"/>
  <c r="O183" s="1"/>
  <c r="CG74"/>
  <c r="AX106"/>
  <c r="AX220" s="1"/>
  <c r="GN156"/>
  <c r="GM156"/>
  <c r="AK42"/>
  <c r="CZ87"/>
  <c r="Y87" s="1"/>
  <c r="AB101"/>
  <c r="CY104"/>
  <c r="X104" s="1"/>
  <c r="T174"/>
  <c r="S182"/>
  <c r="CR34"/>
  <c r="Q34" s="1"/>
  <c r="CP34" s="1"/>
  <c r="O34" s="1"/>
  <c r="AB34"/>
  <c r="GM86"/>
  <c r="AB33"/>
  <c r="CR33"/>
  <c r="Q33" s="1"/>
  <c r="CZ88"/>
  <c r="Y88" s="1"/>
  <c r="CY88"/>
  <c r="X88" s="1"/>
  <c r="CZ144"/>
  <c r="Y144" s="1"/>
  <c r="CY144"/>
  <c r="X144" s="1"/>
  <c r="CG138"/>
  <c r="AX190"/>
  <c r="AB182"/>
  <c r="CR182"/>
  <c r="Q182" s="1"/>
  <c r="CP182" s="1"/>
  <c r="O182" s="1"/>
  <c r="GK188"/>
  <c r="CZ188"/>
  <c r="Y188" s="1"/>
  <c r="GN141"/>
  <c r="GM141"/>
  <c r="CY86"/>
  <c r="X86" s="1"/>
  <c r="AB94"/>
  <c r="CZ32"/>
  <c r="Y32" s="1"/>
  <c r="AB85"/>
  <c r="CZ104"/>
  <c r="Y104" s="1"/>
  <c r="T182"/>
  <c r="V174"/>
  <c r="AI190" s="1"/>
  <c r="T163"/>
  <c r="AG190" s="1"/>
  <c r="L280" i="6" l="1"/>
  <c r="AB280"/>
  <c r="K275" i="5"/>
  <c r="AB275"/>
  <c r="O514"/>
  <c r="W514"/>
  <c r="O276"/>
  <c r="W276"/>
  <c r="W609"/>
  <c r="O609"/>
  <c r="J653"/>
  <c r="P653" s="1"/>
  <c r="GN186" i="1"/>
  <c r="GM186"/>
  <c r="O623" i="5"/>
  <c r="W623"/>
  <c r="L627" i="6"/>
  <c r="AB627"/>
  <c r="AB622" i="5"/>
  <c r="K622"/>
  <c r="T370" i="6"/>
  <c r="L375" s="1"/>
  <c r="T365" i="5"/>
  <c r="K370" s="1"/>
  <c r="CP33" i="1"/>
  <c r="O33" s="1"/>
  <c r="L83" i="6"/>
  <c r="K78" i="5"/>
  <c r="V328" i="6"/>
  <c r="L334" s="1"/>
  <c r="V323" i="5"/>
  <c r="K329" s="1"/>
  <c r="V71" i="6"/>
  <c r="L77" s="1"/>
  <c r="V66" i="5"/>
  <c r="K72" s="1"/>
  <c r="T227" i="6"/>
  <c r="L233" s="1"/>
  <c r="T222" i="5"/>
  <c r="K228" s="1"/>
  <c r="V370" i="6"/>
  <c r="L376" s="1"/>
  <c r="V365" i="5"/>
  <c r="K371" s="1"/>
  <c r="V240" i="6"/>
  <c r="L247" s="1"/>
  <c r="V235" i="5"/>
  <c r="K242" s="1"/>
  <c r="K95" i="6"/>
  <c r="P95" s="1"/>
  <c r="J90" i="5"/>
  <c r="P90" s="1"/>
  <c r="K530" i="6"/>
  <c r="P530" s="1"/>
  <c r="J525" i="5"/>
  <c r="P525" s="1"/>
  <c r="V588" i="6"/>
  <c r="V583" i="5"/>
  <c r="T172"/>
  <c r="K178" s="1"/>
  <c r="T177" i="6"/>
  <c r="L183" s="1"/>
  <c r="GM175" i="1"/>
  <c r="V590" i="6"/>
  <c r="V585" i="5"/>
  <c r="V518" i="6"/>
  <c r="V513" i="5"/>
  <c r="V167" i="6"/>
  <c r="L174" s="1"/>
  <c r="V162" i="5"/>
  <c r="K169" s="1"/>
  <c r="AB518" i="6"/>
  <c r="L518"/>
  <c r="AB513" i="5"/>
  <c r="K513"/>
  <c r="CP178" i="1"/>
  <c r="O178" s="1"/>
  <c r="L608" i="6"/>
  <c r="K603" i="5"/>
  <c r="V283"/>
  <c r="K289" s="1"/>
  <c r="V288" i="6"/>
  <c r="L294" s="1"/>
  <c r="T167"/>
  <c r="L173" s="1"/>
  <c r="T162" i="5"/>
  <c r="K168" s="1"/>
  <c r="K522" i="6"/>
  <c r="P522" s="1"/>
  <c r="J517" i="5"/>
  <c r="P517" s="1"/>
  <c r="GM96" i="1"/>
  <c r="T288" i="6"/>
  <c r="L293" s="1"/>
  <c r="K296" s="1"/>
  <c r="P296" s="1"/>
  <c r="T283" i="5"/>
  <c r="K288" s="1"/>
  <c r="J291" s="1"/>
  <c r="P291" s="1"/>
  <c r="V227" i="6"/>
  <c r="L234" s="1"/>
  <c r="V222" i="5"/>
  <c r="K229" s="1"/>
  <c r="CP177" i="1"/>
  <c r="O177" s="1"/>
  <c r="J599" i="5" s="1"/>
  <c r="P599" s="1"/>
  <c r="L599" i="6"/>
  <c r="K594" i="5"/>
  <c r="CP149" i="1"/>
  <c r="O149" s="1"/>
  <c r="L406" i="6"/>
  <c r="K401" i="5"/>
  <c r="W658" i="6"/>
  <c r="O658"/>
  <c r="O539"/>
  <c r="W539"/>
  <c r="O336"/>
  <c r="W336"/>
  <c r="W261"/>
  <c r="O261"/>
  <c r="W530"/>
  <c r="O530"/>
  <c r="O318"/>
  <c r="W318"/>
  <c r="W265" i="5"/>
  <c r="O265"/>
  <c r="O176" i="6"/>
  <c r="W176"/>
  <c r="O44"/>
  <c r="W44"/>
  <c r="O494" i="5"/>
  <c r="W494"/>
  <c r="O442" i="6"/>
  <c r="W442"/>
  <c r="O322" i="5"/>
  <c r="W322"/>
  <c r="W304" i="6"/>
  <c r="O304"/>
  <c r="W149"/>
  <c r="O149"/>
  <c r="O79"/>
  <c r="W79"/>
  <c r="W310" i="5"/>
  <c r="O310"/>
  <c r="T641" i="6"/>
  <c r="L645" s="1"/>
  <c r="T636" i="5"/>
  <c r="K640" s="1"/>
  <c r="V463" i="6"/>
  <c r="L470" s="1"/>
  <c r="V458" i="5"/>
  <c r="K465" s="1"/>
  <c r="V413" i="6"/>
  <c r="L420" s="1"/>
  <c r="V408" i="5"/>
  <c r="K415" s="1"/>
  <c r="V485" i="6"/>
  <c r="V480" i="5"/>
  <c r="V345" i="6"/>
  <c r="L351" s="1"/>
  <c r="V340" i="5"/>
  <c r="K346" s="1"/>
  <c r="T570" i="6"/>
  <c r="L575" s="1"/>
  <c r="T565" i="5"/>
  <c r="K570" s="1"/>
  <c r="T579" i="6"/>
  <c r="T574" i="5"/>
  <c r="K568" i="6"/>
  <c r="P568" s="1"/>
  <c r="J563" i="5"/>
  <c r="P563" s="1"/>
  <c r="V122" i="6"/>
  <c r="L128" s="1"/>
  <c r="V117" i="5"/>
  <c r="K123" s="1"/>
  <c r="T62" i="6"/>
  <c r="L67" s="1"/>
  <c r="T57" i="5"/>
  <c r="K62" s="1"/>
  <c r="T237" i="6"/>
  <c r="T232" i="5"/>
  <c r="T262" i="6"/>
  <c r="L267" s="1"/>
  <c r="K270" s="1"/>
  <c r="P270" s="1"/>
  <c r="T257" i="5"/>
  <c r="K262" s="1"/>
  <c r="J265" s="1"/>
  <c r="P265" s="1"/>
  <c r="V99"/>
  <c r="K105" s="1"/>
  <c r="V104" i="6"/>
  <c r="L110" s="1"/>
  <c r="K369"/>
  <c r="P369" s="1"/>
  <c r="J364" i="5"/>
  <c r="P364" s="1"/>
  <c r="K130" i="6"/>
  <c r="P130" s="1"/>
  <c r="J125" i="5"/>
  <c r="P125" s="1"/>
  <c r="W432" i="6"/>
  <c r="O432"/>
  <c r="O599" i="5"/>
  <c r="W599"/>
  <c r="L662" i="6"/>
  <c r="K657" i="5"/>
  <c r="CP187" i="1"/>
  <c r="O187" s="1"/>
  <c r="L373" i="6"/>
  <c r="K368" i="5"/>
  <c r="L672" i="6"/>
  <c r="K667" i="5"/>
  <c r="L512" i="6"/>
  <c r="K507" i="5"/>
  <c r="L170" i="6"/>
  <c r="K165" i="5"/>
  <c r="CP77" i="1"/>
  <c r="O77" s="1"/>
  <c r="L125" i="6"/>
  <c r="K120" i="5"/>
  <c r="L493" i="6"/>
  <c r="K488" i="5"/>
  <c r="CP160" i="1"/>
  <c r="O160" s="1"/>
  <c r="T248" i="5"/>
  <c r="K253" s="1"/>
  <c r="T253" i="6"/>
  <c r="L258" s="1"/>
  <c r="GM90" i="1"/>
  <c r="GM80"/>
  <c r="GN80"/>
  <c r="L677" i="5"/>
  <c r="L146"/>
  <c r="L160" i="6"/>
  <c r="K155" i="5"/>
  <c r="T71" i="6"/>
  <c r="L76" s="1"/>
  <c r="T66" i="5"/>
  <c r="K71" s="1"/>
  <c r="K213" i="6"/>
  <c r="P213" s="1"/>
  <c r="J208" i="5"/>
  <c r="P208" s="1"/>
  <c r="J56"/>
  <c r="P56" s="1"/>
  <c r="K61" i="6"/>
  <c r="P61" s="1"/>
  <c r="L274"/>
  <c r="K269" i="5"/>
  <c r="CP92" i="1"/>
  <c r="O92" s="1"/>
  <c r="T190" i="6"/>
  <c r="L196" s="1"/>
  <c r="T185" i="5"/>
  <c r="K191" s="1"/>
  <c r="J194" s="1"/>
  <c r="P194" s="1"/>
  <c r="K307" i="6"/>
  <c r="P307" s="1"/>
  <c r="J302" i="5"/>
  <c r="P302" s="1"/>
  <c r="W678" i="6"/>
  <c r="O678"/>
  <c r="W88"/>
  <c r="O88"/>
  <c r="O557"/>
  <c r="W557"/>
  <c r="O231" i="5"/>
  <c r="W231"/>
  <c r="O626"/>
  <c r="W626"/>
  <c r="O604" i="6"/>
  <c r="W604"/>
  <c r="W327"/>
  <c r="O327"/>
  <c r="O226"/>
  <c r="W226"/>
  <c r="O221" i="5"/>
  <c r="W221"/>
  <c r="L396" i="6"/>
  <c r="K391" i="5"/>
  <c r="CP147" i="1"/>
  <c r="O147" s="1"/>
  <c r="L621" i="6"/>
  <c r="K616" i="5"/>
  <c r="L466" i="6"/>
  <c r="K461" i="5"/>
  <c r="CP155" i="1"/>
  <c r="O155" s="1"/>
  <c r="K472" i="6" s="1"/>
  <c r="P472" s="1"/>
  <c r="K139" i="5"/>
  <c r="L144" i="6"/>
  <c r="CP40" i="1"/>
  <c r="O40" s="1"/>
  <c r="L634" i="6"/>
  <c r="K629" i="5"/>
  <c r="CP184" i="1"/>
  <c r="O184" s="1"/>
  <c r="L582" i="6"/>
  <c r="K577" i="5"/>
  <c r="CP173" i="1"/>
  <c r="O173" s="1"/>
  <c r="L364" i="6"/>
  <c r="K359" i="5"/>
  <c r="L47" i="6"/>
  <c r="K42" i="5"/>
  <c r="CP29" i="1"/>
  <c r="O29" s="1"/>
  <c r="GN86"/>
  <c r="AL42"/>
  <c r="G205" i="5"/>
  <c r="J231"/>
  <c r="P231" s="1"/>
  <c r="K511"/>
  <c r="L675"/>
  <c r="K353" i="6"/>
  <c r="P353" s="1"/>
  <c r="L611"/>
  <c r="L586"/>
  <c r="G481" i="5"/>
  <c r="CP162" i="1"/>
  <c r="O162" s="1"/>
  <c r="J98" i="5"/>
  <c r="P98" s="1"/>
  <c r="GN188" i="1"/>
  <c r="V669" i="6"/>
  <c r="L676" s="1"/>
  <c r="V664" i="5"/>
  <c r="K671" s="1"/>
  <c r="T240" i="6"/>
  <c r="L246" s="1"/>
  <c r="T235" i="5"/>
  <c r="K241" s="1"/>
  <c r="GM104" i="1"/>
  <c r="T328" i="6"/>
  <c r="L333" s="1"/>
  <c r="K336" s="1"/>
  <c r="P336" s="1"/>
  <c r="T323" i="5"/>
  <c r="K328" s="1"/>
  <c r="J331" s="1"/>
  <c r="P331" s="1"/>
  <c r="GM87" i="1"/>
  <c r="V237" i="6"/>
  <c r="V232" i="5"/>
  <c r="K631" i="6"/>
  <c r="P631" s="1"/>
  <c r="J626" i="5"/>
  <c r="P626" s="1"/>
  <c r="T588" i="6"/>
  <c r="T583" i="5"/>
  <c r="V177" i="6"/>
  <c r="L184" s="1"/>
  <c r="V172" i="5"/>
  <c r="K179" s="1"/>
  <c r="T476" i="6"/>
  <c r="L482" s="1"/>
  <c r="K486" s="1"/>
  <c r="P486" s="1"/>
  <c r="T471" i="5"/>
  <c r="K477" s="1"/>
  <c r="J481" s="1"/>
  <c r="P481" s="1"/>
  <c r="GM40" i="1"/>
  <c r="T141" i="6"/>
  <c r="L146" s="1"/>
  <c r="K149" s="1"/>
  <c r="P149" s="1"/>
  <c r="T136" i="5"/>
  <c r="K141" s="1"/>
  <c r="V476" i="6"/>
  <c r="L483" s="1"/>
  <c r="V471" i="5"/>
  <c r="K478" s="1"/>
  <c r="T518" i="6"/>
  <c r="L515" s="1"/>
  <c r="K519" s="1"/>
  <c r="P519" s="1"/>
  <c r="T513" i="5"/>
  <c r="T393" i="6"/>
  <c r="L398" s="1"/>
  <c r="T388" i="5"/>
  <c r="K393" s="1"/>
  <c r="K166" i="6"/>
  <c r="P166" s="1"/>
  <c r="J161" i="5"/>
  <c r="P161" s="1"/>
  <c r="GM176" i="1"/>
  <c r="V593" i="6"/>
  <c r="V588" i="5"/>
  <c r="V393" i="6"/>
  <c r="L399" s="1"/>
  <c r="V388" i="5"/>
  <c r="K394" s="1"/>
  <c r="L588" i="6"/>
  <c r="AB588"/>
  <c r="K583" i="5"/>
  <c r="AB583"/>
  <c r="K186" i="6"/>
  <c r="P186" s="1"/>
  <c r="J181" i="5"/>
  <c r="P181" s="1"/>
  <c r="CP150" i="1"/>
  <c r="O150" s="1"/>
  <c r="K422" i="6" s="1"/>
  <c r="P422" s="1"/>
  <c r="L416"/>
  <c r="K411" i="5"/>
  <c r="GM161" i="1"/>
  <c r="O279" i="5"/>
  <c r="W279"/>
  <c r="O447"/>
  <c r="W447"/>
  <c r="W319"/>
  <c r="O319"/>
  <c r="O236" i="6"/>
  <c r="W236"/>
  <c r="O199"/>
  <c r="W199"/>
  <c r="O121"/>
  <c r="W121"/>
  <c r="O668"/>
  <c r="W668"/>
  <c r="O508"/>
  <c r="W508"/>
  <c r="W472"/>
  <c r="O472"/>
  <c r="O401"/>
  <c r="W401"/>
  <c r="O316" i="5"/>
  <c r="W316"/>
  <c r="O282"/>
  <c r="W282"/>
  <c r="W140" i="6"/>
  <c r="O140"/>
  <c r="W70"/>
  <c r="O70"/>
  <c r="O364" i="5"/>
  <c r="W364"/>
  <c r="O74"/>
  <c r="W74"/>
  <c r="O543"/>
  <c r="W543"/>
  <c r="V500" i="6"/>
  <c r="L506" s="1"/>
  <c r="V495" i="5"/>
  <c r="K501" s="1"/>
  <c r="J503" s="1"/>
  <c r="P503" s="1"/>
  <c r="V433" i="6"/>
  <c r="L440" s="1"/>
  <c r="V428" i="5"/>
  <c r="K435" s="1"/>
  <c r="T386" i="6"/>
  <c r="L389" s="1"/>
  <c r="T381" i="5"/>
  <c r="K384" s="1"/>
  <c r="T490" i="6"/>
  <c r="L496" s="1"/>
  <c r="K499" s="1"/>
  <c r="P499" s="1"/>
  <c r="T485" i="5"/>
  <c r="K491" s="1"/>
  <c r="T659" i="6"/>
  <c r="L665" s="1"/>
  <c r="K668" s="1"/>
  <c r="P668" s="1"/>
  <c r="T654" i="5"/>
  <c r="K660" s="1"/>
  <c r="T453" i="6"/>
  <c r="L459" s="1"/>
  <c r="T448" i="5"/>
  <c r="K454" s="1"/>
  <c r="K595" i="6"/>
  <c r="P595" s="1"/>
  <c r="J590" i="5"/>
  <c r="P590" s="1"/>
  <c r="T487" i="6"/>
  <c r="T482" i="5"/>
  <c r="T271" i="6"/>
  <c r="T266" i="5"/>
  <c r="V80" i="6"/>
  <c r="L86" s="1"/>
  <c r="K88" s="1"/>
  <c r="P88" s="1"/>
  <c r="V75" i="5"/>
  <c r="K81" s="1"/>
  <c r="T131" i="6"/>
  <c r="L137" s="1"/>
  <c r="K140" s="1"/>
  <c r="P140" s="1"/>
  <c r="T126" i="5"/>
  <c r="K132" s="1"/>
  <c r="T45" i="6"/>
  <c r="L49" s="1"/>
  <c r="K52" s="1"/>
  <c r="P52" s="1"/>
  <c r="T40" i="5"/>
  <c r="K44" s="1"/>
  <c r="V113" i="6"/>
  <c r="L119" s="1"/>
  <c r="K121" s="1"/>
  <c r="P121" s="1"/>
  <c r="V108" i="5"/>
  <c r="K114" s="1"/>
  <c r="T200" i="6"/>
  <c r="L206" s="1"/>
  <c r="T195" i="5"/>
  <c r="K201" s="1"/>
  <c r="L243" i="6"/>
  <c r="K238" i="5"/>
  <c r="K210" i="6"/>
  <c r="P210" s="1"/>
  <c r="J205" i="5"/>
  <c r="P205" s="1"/>
  <c r="L643" i="6"/>
  <c r="K638" i="5"/>
  <c r="CP185" i="1"/>
  <c r="O185" s="1"/>
  <c r="L652" i="6"/>
  <c r="K647" i="5"/>
  <c r="L573" i="6"/>
  <c r="K568" i="5"/>
  <c r="CP172" i="1"/>
  <c r="O172" s="1"/>
  <c r="L436" i="6"/>
  <c r="K431" i="5"/>
  <c r="CP152" i="1"/>
  <c r="O152" s="1"/>
  <c r="K442" i="6" s="1"/>
  <c r="P442" s="1"/>
  <c r="V253"/>
  <c r="L259" s="1"/>
  <c r="V248" i="5"/>
  <c r="K254" s="1"/>
  <c r="L134" i="6"/>
  <c r="K129" i="5"/>
  <c r="CP39" i="1"/>
  <c r="O39" s="1"/>
  <c r="M685" i="6"/>
  <c r="M698"/>
  <c r="V37"/>
  <c r="L42" s="1"/>
  <c r="V32" i="5"/>
  <c r="K37" s="1"/>
  <c r="L217" i="6"/>
  <c r="K212" i="5"/>
  <c r="CP84" i="1"/>
  <c r="O84" s="1"/>
  <c r="K304" i="6"/>
  <c r="P304" s="1"/>
  <c r="J299" i="5"/>
  <c r="P299" s="1"/>
  <c r="CP28" i="1"/>
  <c r="O28" s="1"/>
  <c r="L39" i="6"/>
  <c r="K34" i="5"/>
  <c r="L230" i="6"/>
  <c r="K225" i="5"/>
  <c r="L426" i="6"/>
  <c r="K421" i="5"/>
  <c r="CP151" i="1"/>
  <c r="O151" s="1"/>
  <c r="K432" i="6" s="1"/>
  <c r="P432" s="1"/>
  <c r="V185" i="5"/>
  <c r="K192" s="1"/>
  <c r="V190" i="6"/>
  <c r="L197" s="1"/>
  <c r="L65"/>
  <c r="K60" i="5"/>
  <c r="CP31" i="1"/>
  <c r="O31" s="1"/>
  <c r="K565" i="6"/>
  <c r="P565" s="1"/>
  <c r="J560" i="5"/>
  <c r="P560" s="1"/>
  <c r="CP36" i="1"/>
  <c r="O36" s="1"/>
  <c r="L107" i="6"/>
  <c r="K102" i="5"/>
  <c r="W284" i="6"/>
  <c r="O284"/>
  <c r="O392"/>
  <c r="W392"/>
  <c r="W663" i="5"/>
  <c r="O663"/>
  <c r="O369" i="6"/>
  <c r="W369"/>
  <c r="O321"/>
  <c r="W321"/>
  <c r="O52"/>
  <c r="W52"/>
  <c r="L456"/>
  <c r="K451" i="5"/>
  <c r="L74" i="6"/>
  <c r="K69" i="5"/>
  <c r="CP32" i="1"/>
  <c r="O32" s="1"/>
  <c r="L479" i="6"/>
  <c r="K474" i="5"/>
  <c r="L543" i="6"/>
  <c r="K538" i="5"/>
  <c r="CP167" i="1"/>
  <c r="O167" s="1"/>
  <c r="T669" i="6"/>
  <c r="L675" s="1"/>
  <c r="K678" s="1"/>
  <c r="P678" s="1"/>
  <c r="T664" i="5"/>
  <c r="K670" s="1"/>
  <c r="J673" s="1"/>
  <c r="P673" s="1"/>
  <c r="J373"/>
  <c r="P373" s="1"/>
  <c r="AE190" i="1"/>
  <c r="H519" i="6"/>
  <c r="H281"/>
  <c r="H589"/>
  <c r="G584" i="5"/>
  <c r="K658" i="6"/>
  <c r="P658" s="1"/>
  <c r="K360"/>
  <c r="P360" s="1"/>
  <c r="L516"/>
  <c r="J534" i="5"/>
  <c r="P534" s="1"/>
  <c r="CP88" i="1"/>
  <c r="O88" s="1"/>
  <c r="K604" i="6"/>
  <c r="P604" s="1"/>
  <c r="K508"/>
  <c r="P508" s="1"/>
  <c r="J348" i="5"/>
  <c r="P348" s="1"/>
  <c r="K606"/>
  <c r="K581"/>
  <c r="K510"/>
  <c r="J514" s="1"/>
  <c r="P514" s="1"/>
  <c r="J116"/>
  <c r="P116" s="1"/>
  <c r="J218"/>
  <c r="P218" s="1"/>
  <c r="H628" i="6"/>
  <c r="J417" i="5"/>
  <c r="P417" s="1"/>
  <c r="CP154" i="1"/>
  <c r="O154" s="1"/>
  <c r="H151" i="6"/>
  <c r="G146" i="5"/>
  <c r="GN163" i="1"/>
  <c r="GM163"/>
  <c r="CJ138"/>
  <c r="BA190"/>
  <c r="AJ138"/>
  <c r="W190"/>
  <c r="AL26"/>
  <c r="Y42"/>
  <c r="V74"/>
  <c r="F129"/>
  <c r="T26"/>
  <c r="F63"/>
  <c r="GM188"/>
  <c r="AI138"/>
  <c r="V190"/>
  <c r="V220" s="1"/>
  <c r="W106"/>
  <c r="AJ74"/>
  <c r="AG138"/>
  <c r="T190"/>
  <c r="AX138"/>
  <c r="F197"/>
  <c r="GN165"/>
  <c r="GM165"/>
  <c r="F65"/>
  <c r="V26"/>
  <c r="GN178"/>
  <c r="GM178"/>
  <c r="GN144"/>
  <c r="GM144"/>
  <c r="GM78"/>
  <c r="GN78"/>
  <c r="AZ138"/>
  <c r="F201"/>
  <c r="BA74"/>
  <c r="F126"/>
  <c r="GN176"/>
  <c r="GN87"/>
  <c r="GN32"/>
  <c r="AG74"/>
  <c r="T106"/>
  <c r="AX74"/>
  <c r="F113"/>
  <c r="GN164"/>
  <c r="GM164"/>
  <c r="GN104"/>
  <c r="CZ182"/>
  <c r="Y182" s="1"/>
  <c r="CY182"/>
  <c r="X182" s="1"/>
  <c r="GM157"/>
  <c r="GN157"/>
  <c r="AX22"/>
  <c r="F227"/>
  <c r="AX258"/>
  <c r="AD74"/>
  <c r="Q106"/>
  <c r="AZ74"/>
  <c r="F117"/>
  <c r="W26"/>
  <c r="F66"/>
  <c r="AE138"/>
  <c r="R190"/>
  <c r="GN150"/>
  <c r="GM150"/>
  <c r="GN34"/>
  <c r="GM34"/>
  <c r="GN183"/>
  <c r="GM183"/>
  <c r="BC18"/>
  <c r="F274"/>
  <c r="F57"/>
  <c r="S26"/>
  <c r="P42"/>
  <c r="AC26"/>
  <c r="CF42"/>
  <c r="CE42"/>
  <c r="CH42"/>
  <c r="AE26"/>
  <c r="R42"/>
  <c r="R106"/>
  <c r="AE74"/>
  <c r="X42"/>
  <c r="AK26"/>
  <c r="GN142"/>
  <c r="GM142"/>
  <c r="S106"/>
  <c r="AF74"/>
  <c r="CE106"/>
  <c r="AC74"/>
  <c r="P106"/>
  <c r="CH106"/>
  <c r="CF106"/>
  <c r="CP146"/>
  <c r="O146" s="1"/>
  <c r="AD190"/>
  <c r="GN174"/>
  <c r="GM174"/>
  <c r="BB22"/>
  <c r="BB258"/>
  <c r="F233"/>
  <c r="AH138"/>
  <c r="U190"/>
  <c r="AP18"/>
  <c r="F267"/>
  <c r="GN76"/>
  <c r="AB106"/>
  <c r="GM76"/>
  <c r="F125"/>
  <c r="AU74"/>
  <c r="AU220"/>
  <c r="GN177"/>
  <c r="GM177"/>
  <c r="AO22"/>
  <c r="F224"/>
  <c r="AO258"/>
  <c r="GN149"/>
  <c r="GM149"/>
  <c r="GN33"/>
  <c r="GM33"/>
  <c r="F53"/>
  <c r="AZ26"/>
  <c r="AZ220"/>
  <c r="GM88"/>
  <c r="AB190"/>
  <c r="AC190"/>
  <c r="AD42"/>
  <c r="GN175"/>
  <c r="GN96"/>
  <c r="AF190"/>
  <c r="AH74"/>
  <c r="U106"/>
  <c r="BA26"/>
  <c r="F62"/>
  <c r="BA220"/>
  <c r="AQ22"/>
  <c r="F230"/>
  <c r="AQ258"/>
  <c r="CZ93"/>
  <c r="Y93" s="1"/>
  <c r="CY93"/>
  <c r="X93" s="1"/>
  <c r="F64"/>
  <c r="U26"/>
  <c r="AL106" l="1"/>
  <c r="V280" i="6"/>
  <c r="L278" s="1"/>
  <c r="V275" i="5"/>
  <c r="K273" s="1"/>
  <c r="J276" s="1"/>
  <c r="P276" s="1"/>
  <c r="AK106" i="1"/>
  <c r="T280" i="6"/>
  <c r="L277" s="1"/>
  <c r="K281" s="1"/>
  <c r="P281" s="1"/>
  <c r="T275" i="5"/>
  <c r="AL190" i="1"/>
  <c r="V627" i="6"/>
  <c r="L625" s="1"/>
  <c r="V622" i="5"/>
  <c r="K620" s="1"/>
  <c r="O628" i="6"/>
  <c r="W628"/>
  <c r="O589"/>
  <c r="W589"/>
  <c r="W519"/>
  <c r="O519"/>
  <c r="K79"/>
  <c r="P79" s="1"/>
  <c r="J74" i="5"/>
  <c r="P74" s="1"/>
  <c r="J65"/>
  <c r="P65" s="1"/>
  <c r="GM31" i="1"/>
  <c r="GN31"/>
  <c r="K44" i="6"/>
  <c r="P44" s="1"/>
  <c r="J39" i="5"/>
  <c r="P39" s="1"/>
  <c r="GN28" i="1"/>
  <c r="GM28"/>
  <c r="J135" i="5"/>
  <c r="P135" s="1"/>
  <c r="GN39" i="1"/>
  <c r="GM39"/>
  <c r="K578" i="6"/>
  <c r="P578" s="1"/>
  <c r="J573" i="5"/>
  <c r="P573" s="1"/>
  <c r="GN172" i="1"/>
  <c r="GM172"/>
  <c r="GN162"/>
  <c r="GM162"/>
  <c r="O205" i="5"/>
  <c r="W205"/>
  <c r="GM173" i="1"/>
  <c r="GN173"/>
  <c r="J144" i="5"/>
  <c r="P144" s="1"/>
  <c r="GN40" i="1"/>
  <c r="K401" i="6"/>
  <c r="P401" s="1"/>
  <c r="J396" i="5"/>
  <c r="P396" s="1"/>
  <c r="GN147" i="1"/>
  <c r="GM147"/>
  <c r="J494" i="5"/>
  <c r="P494" s="1"/>
  <c r="GM160" i="1"/>
  <c r="GN160"/>
  <c r="J663" i="5"/>
  <c r="P663" s="1"/>
  <c r="GM187" i="1"/>
  <c r="GN187"/>
  <c r="K614" i="6"/>
  <c r="P614" s="1"/>
  <c r="J609" i="5"/>
  <c r="P609" s="1"/>
  <c r="H680" i="6"/>
  <c r="K272" i="5"/>
  <c r="K199" i="6"/>
  <c r="P199" s="1"/>
  <c r="K261"/>
  <c r="P261" s="1"/>
  <c r="K70"/>
  <c r="P70" s="1"/>
  <c r="L585"/>
  <c r="K589" s="1"/>
  <c r="P589" s="1"/>
  <c r="K648"/>
  <c r="P648" s="1"/>
  <c r="H338"/>
  <c r="GM32" i="1"/>
  <c r="K392" i="6"/>
  <c r="P392" s="1"/>
  <c r="J387" i="5"/>
  <c r="P387" s="1"/>
  <c r="GM182" i="1"/>
  <c r="T627" i="6"/>
  <c r="L624" s="1"/>
  <c r="K628" s="1"/>
  <c r="P628" s="1"/>
  <c r="T622" i="5"/>
  <c r="K619" s="1"/>
  <c r="J623" s="1"/>
  <c r="P623" s="1"/>
  <c r="K462" i="6"/>
  <c r="P462" s="1"/>
  <c r="J457" i="5"/>
  <c r="P457" s="1"/>
  <c r="GN154" i="1"/>
  <c r="GM154"/>
  <c r="K249" i="6"/>
  <c r="P249" s="1"/>
  <c r="J244" i="5"/>
  <c r="P244" s="1"/>
  <c r="W584"/>
  <c r="O584"/>
  <c r="O281" i="6"/>
  <c r="W281"/>
  <c r="K548"/>
  <c r="P548" s="1"/>
  <c r="J543" i="5"/>
  <c r="P543" s="1"/>
  <c r="GM167" i="1"/>
  <c r="GN167"/>
  <c r="K112" i="6"/>
  <c r="P112" s="1"/>
  <c r="J107" i="5"/>
  <c r="P107" s="1"/>
  <c r="GN36" i="1"/>
  <c r="GM36"/>
  <c r="J427" i="5"/>
  <c r="P427" s="1"/>
  <c r="GN151" i="1"/>
  <c r="GM151"/>
  <c r="K223" i="6"/>
  <c r="P223" s="1"/>
  <c r="GN84" i="1"/>
  <c r="GM84"/>
  <c r="J437" i="5"/>
  <c r="P437" s="1"/>
  <c r="GM152" i="1"/>
  <c r="GN152"/>
  <c r="J643" i="5"/>
  <c r="P643" s="1"/>
  <c r="GN185" i="1"/>
  <c r="GM185"/>
  <c r="O481" i="5"/>
  <c r="W481"/>
  <c r="J47"/>
  <c r="P47" s="1"/>
  <c r="GN29" i="1"/>
  <c r="CB42" s="1"/>
  <c r="GM29"/>
  <c r="CA42" s="1"/>
  <c r="K640" i="6"/>
  <c r="P640" s="1"/>
  <c r="J635" i="5"/>
  <c r="P635" s="1"/>
  <c r="GN184" i="1"/>
  <c r="GM184"/>
  <c r="J467" i="5"/>
  <c r="P467" s="1"/>
  <c r="GN155" i="1"/>
  <c r="GM155"/>
  <c r="GM92"/>
  <c r="GN92"/>
  <c r="J171" i="5"/>
  <c r="P171" s="1"/>
  <c r="GM77" i="1"/>
  <c r="GN77"/>
  <c r="K412" i="6"/>
  <c r="P412" s="1"/>
  <c r="J407" i="5"/>
  <c r="P407" s="1"/>
  <c r="AB42" i="1"/>
  <c r="J83" i="5"/>
  <c r="P83" s="1"/>
  <c r="GO88" i="1"/>
  <c r="CC106" s="1"/>
  <c r="J256" i="5"/>
  <c r="P256" s="1"/>
  <c r="K580"/>
  <c r="J584" s="1"/>
  <c r="P584" s="1"/>
  <c r="K176" i="6"/>
  <c r="P176" s="1"/>
  <c r="K236"/>
  <c r="P236" s="1"/>
  <c r="K378"/>
  <c r="P378" s="1"/>
  <c r="AL138" i="1"/>
  <c r="Y190"/>
  <c r="Y220" s="1"/>
  <c r="AL74"/>
  <c r="Y106"/>
  <c r="AK74"/>
  <c r="X106"/>
  <c r="V22"/>
  <c r="V258"/>
  <c r="F243"/>
  <c r="AB138"/>
  <c r="O190"/>
  <c r="U138"/>
  <c r="F212"/>
  <c r="AF138"/>
  <c r="S190"/>
  <c r="AO18"/>
  <c r="F262"/>
  <c r="BB18"/>
  <c r="F271"/>
  <c r="F109"/>
  <c r="P74"/>
  <c r="X26"/>
  <c r="F67"/>
  <c r="AX18"/>
  <c r="F265"/>
  <c r="CA106"/>
  <c r="F128"/>
  <c r="U74"/>
  <c r="Y26"/>
  <c r="F68"/>
  <c r="BA22"/>
  <c r="F240"/>
  <c r="BA258"/>
  <c r="AQ18"/>
  <c r="F268"/>
  <c r="AY106"/>
  <c r="CH74"/>
  <c r="CF26"/>
  <c r="AW42"/>
  <c r="R138"/>
  <c r="F204"/>
  <c r="GM93"/>
  <c r="U220"/>
  <c r="AK190"/>
  <c r="V138"/>
  <c r="F213"/>
  <c r="GN146"/>
  <c r="CB190" s="1"/>
  <c r="GM146"/>
  <c r="CA190" s="1"/>
  <c r="AY42"/>
  <c r="CH26"/>
  <c r="F130"/>
  <c r="W74"/>
  <c r="BA138"/>
  <c r="F210"/>
  <c r="AC138"/>
  <c r="CH190"/>
  <c r="P190"/>
  <c r="CF190"/>
  <c r="CE190"/>
  <c r="AD138"/>
  <c r="Q190"/>
  <c r="S74"/>
  <c r="F121"/>
  <c r="T74"/>
  <c r="F127"/>
  <c r="GN93"/>
  <c r="CB106" s="1"/>
  <c r="CF74"/>
  <c r="AW106"/>
  <c r="AV42"/>
  <c r="CE26"/>
  <c r="Q74"/>
  <c r="F118"/>
  <c r="AU22"/>
  <c r="F239"/>
  <c r="AU258"/>
  <c r="AD26"/>
  <c r="Q42"/>
  <c r="F56"/>
  <c r="R26"/>
  <c r="R220"/>
  <c r="CE74"/>
  <c r="AV106"/>
  <c r="R74"/>
  <c r="F120"/>
  <c r="T138"/>
  <c r="F211"/>
  <c r="AZ22"/>
  <c r="F231"/>
  <c r="AZ258"/>
  <c r="O106"/>
  <c r="AB74"/>
  <c r="P26"/>
  <c r="F45"/>
  <c r="P220"/>
  <c r="W138"/>
  <c r="F214"/>
  <c r="GN182"/>
  <c r="W220"/>
  <c r="T220"/>
  <c r="AS42" l="1"/>
  <c r="F59" s="1"/>
  <c r="CB26"/>
  <c r="AR42"/>
  <c r="AR26" s="1"/>
  <c r="CA26"/>
  <c r="K680" i="6"/>
  <c r="K338"/>
  <c r="J333" i="5"/>
  <c r="J675"/>
  <c r="K698" i="6"/>
  <c r="K151"/>
  <c r="K685"/>
  <c r="CC74" i="1"/>
  <c r="AT106"/>
  <c r="O42"/>
  <c r="AB26"/>
  <c r="H685" i="6"/>
  <c r="H698"/>
  <c r="G677" i="5"/>
  <c r="G333"/>
  <c r="J146"/>
  <c r="J677"/>
  <c r="G675"/>
  <c r="CA138" i="1"/>
  <c r="AR190"/>
  <c r="Q138"/>
  <c r="F202"/>
  <c r="AS106"/>
  <c r="CB74"/>
  <c r="AZ18"/>
  <c r="F269"/>
  <c r="P138"/>
  <c r="F193"/>
  <c r="W22"/>
  <c r="W258"/>
  <c r="F244"/>
  <c r="AU18"/>
  <c r="F277"/>
  <c r="CE138"/>
  <c r="AV190"/>
  <c r="Y22"/>
  <c r="Y258"/>
  <c r="F246"/>
  <c r="F253" s="1"/>
  <c r="O138"/>
  <c r="F192"/>
  <c r="F131"/>
  <c r="X74"/>
  <c r="AV26"/>
  <c r="F47"/>
  <c r="P22"/>
  <c r="F223"/>
  <c r="F251" s="1"/>
  <c r="P258"/>
  <c r="R22"/>
  <c r="R258"/>
  <c r="F234"/>
  <c r="F249" s="1"/>
  <c r="U22"/>
  <c r="U258"/>
  <c r="F242"/>
  <c r="I24" i="5" s="1"/>
  <c r="T22" i="1"/>
  <c r="F241"/>
  <c r="T258"/>
  <c r="F112"/>
  <c r="AW74"/>
  <c r="AW26"/>
  <c r="F48"/>
  <c r="Y138"/>
  <c r="F216"/>
  <c r="Q26"/>
  <c r="Q220"/>
  <c r="F54"/>
  <c r="V18"/>
  <c r="F281"/>
  <c r="AY26"/>
  <c r="F50"/>
  <c r="BA18"/>
  <c r="F278"/>
  <c r="AR106"/>
  <c r="CA74"/>
  <c r="S138"/>
  <c r="F205"/>
  <c r="S220"/>
  <c r="F69"/>
  <c r="F70" s="1"/>
  <c r="AS26"/>
  <c r="CB138"/>
  <c r="AS190"/>
  <c r="AS220" s="1"/>
  <c r="AY190"/>
  <c r="CH138"/>
  <c r="AK138"/>
  <c r="X190"/>
  <c r="F114"/>
  <c r="AY74"/>
  <c r="Y74"/>
  <c r="F132"/>
  <c r="F108"/>
  <c r="O74"/>
  <c r="AV74"/>
  <c r="F111"/>
  <c r="CF138"/>
  <c r="AW190"/>
  <c r="H16" i="2"/>
  <c r="H18" s="1"/>
  <c r="F124" i="1" l="1"/>
  <c r="AT74"/>
  <c r="AT220"/>
  <c r="O26"/>
  <c r="O220"/>
  <c r="F44"/>
  <c r="AR220"/>
  <c r="AR22" s="1"/>
  <c r="K153" i="6"/>
  <c r="J148" i="5"/>
  <c r="K688" i="6"/>
  <c r="J680" i="5"/>
  <c r="K690" i="6"/>
  <c r="J682" i="5"/>
  <c r="K692" i="6"/>
  <c r="J684" i="5"/>
  <c r="F247" i="1"/>
  <c r="AS22"/>
  <c r="F237"/>
  <c r="E16" i="2" s="1"/>
  <c r="AS258" i="1"/>
  <c r="P18"/>
  <c r="F261"/>
  <c r="F289" s="1"/>
  <c r="AR138"/>
  <c r="F217"/>
  <c r="F218" s="1"/>
  <c r="K682" i="6" s="1"/>
  <c r="AS138" i="1"/>
  <c r="F207"/>
  <c r="Q22"/>
  <c r="F232"/>
  <c r="F250" s="1"/>
  <c r="Q258"/>
  <c r="AY138"/>
  <c r="F198"/>
  <c r="F195"/>
  <c r="AV138"/>
  <c r="AY220"/>
  <c r="S22"/>
  <c r="F235"/>
  <c r="I25" i="5" s="1"/>
  <c r="S258" i="1"/>
  <c r="AW138"/>
  <c r="F196"/>
  <c r="T18"/>
  <c r="F279"/>
  <c r="R18"/>
  <c r="F272"/>
  <c r="F287" s="1"/>
  <c r="K701" i="6" s="1"/>
  <c r="U18" i="1"/>
  <c r="F280"/>
  <c r="Y18"/>
  <c r="F284"/>
  <c r="F291" s="1"/>
  <c r="K705" i="6" s="1"/>
  <c r="AV220" i="1"/>
  <c r="F215"/>
  <c r="X138"/>
  <c r="X220"/>
  <c r="AR74"/>
  <c r="F133"/>
  <c r="F134" s="1"/>
  <c r="W18"/>
  <c r="F282"/>
  <c r="AS74"/>
  <c r="F123"/>
  <c r="AW220"/>
  <c r="F222" l="1"/>
  <c r="O22"/>
  <c r="O258"/>
  <c r="F238"/>
  <c r="F16" i="2" s="1"/>
  <c r="F18" s="1"/>
  <c r="AT22" i="1"/>
  <c r="AT258"/>
  <c r="AR258"/>
  <c r="F285" s="1"/>
  <c r="K340" i="6"/>
  <c r="J335" i="5"/>
  <c r="K689" i="6"/>
  <c r="J681" i="5"/>
  <c r="K703" i="6"/>
  <c r="Q18" i="1"/>
  <c r="F270"/>
  <c r="F288" s="1"/>
  <c r="K702" i="6" s="1"/>
  <c r="S18" i="1"/>
  <c r="F273"/>
  <c r="F286" s="1"/>
  <c r="I16" i="2"/>
  <c r="I18" s="1"/>
  <c r="E18"/>
  <c r="AS18" i="1"/>
  <c r="F275"/>
  <c r="AR18"/>
  <c r="AV22"/>
  <c r="AV258"/>
  <c r="F225"/>
  <c r="AY22"/>
  <c r="F228"/>
  <c r="AY258"/>
  <c r="X22"/>
  <c r="X258"/>
  <c r="F245"/>
  <c r="F252" s="1"/>
  <c r="E694" i="6" s="1"/>
  <c r="AW22" i="1"/>
  <c r="F226"/>
  <c r="AW258"/>
  <c r="F248"/>
  <c r="J16" i="2"/>
  <c r="J18" s="1"/>
  <c r="F260" i="1" l="1"/>
  <c r="O18"/>
  <c r="AT18"/>
  <c r="F276"/>
  <c r="K700" i="6"/>
  <c r="D686" i="5"/>
  <c r="E693" i="6"/>
  <c r="K687"/>
  <c r="AM693"/>
  <c r="D685" i="5"/>
  <c r="J679"/>
  <c r="AM685"/>
  <c r="F255" i="1"/>
  <c r="K691" i="6"/>
  <c r="J683" i="5"/>
  <c r="AM686"/>
  <c r="AM694" i="6"/>
  <c r="AY18" i="1"/>
  <c r="F266"/>
  <c r="X18"/>
  <c r="F283"/>
  <c r="F290" s="1"/>
  <c r="K704" i="6" s="1"/>
  <c r="AV18" i="1"/>
  <c r="F263"/>
  <c r="AW18"/>
  <c r="F264"/>
  <c r="F254"/>
  <c r="F292" l="1"/>
  <c r="K706" i="6" s="1"/>
  <c r="AM707"/>
  <c r="AM706"/>
  <c r="F256" i="1"/>
  <c r="E695" i="6"/>
  <c r="K693"/>
  <c r="AM695"/>
  <c r="D687" i="5"/>
  <c r="J685"/>
  <c r="AM687"/>
  <c r="K694" i="6"/>
  <c r="J686" i="5"/>
  <c r="F293" i="1"/>
  <c r="K707" i="6" s="1"/>
  <c r="E707"/>
  <c r="E706"/>
  <c r="F294" i="1" l="1"/>
  <c r="K708" i="6" s="1"/>
  <c r="AM708"/>
  <c r="K695"/>
  <c r="J687" i="5"/>
  <c r="I23"/>
  <c r="E708" i="6"/>
</calcChain>
</file>

<file path=xl/sharedStrings.xml><?xml version="1.0" encoding="utf-8"?>
<sst xmlns="http://schemas.openxmlformats.org/spreadsheetml/2006/main" count="11439" uniqueCount="1015">
  <si>
    <t>Smeta.RU  (495) 974-1589</t>
  </si>
  <si>
    <t>_PS_</t>
  </si>
  <si>
    <t>Smeta.RU</t>
  </si>
  <si>
    <t/>
  </si>
  <si>
    <t>02-01</t>
  </si>
  <si>
    <t>КОЖВЕН Санузел для ивалидов, атечный склад</t>
  </si>
  <si>
    <t>Сметные нормы списания</t>
  </si>
  <si>
    <t>Коды ценников</t>
  </si>
  <si>
    <t>Чувашская Республика (редакция 2014)</t>
  </si>
  <si>
    <t>ТР для Версии 10: Центральные регионы (с уч. п-ма 2536-ИП/12/ГС от 27.11.12, 01/57049-ЮЛ от 27.04.2018) от 14.03.2019 г</t>
  </si>
  <si>
    <t>Поправки  для НБ 2014 года от 28.04.2017</t>
  </si>
  <si>
    <t>02-01-01</t>
  </si>
  <si>
    <t>Санузел для инвалидов</t>
  </si>
  <si>
    <t>1</t>
  </si>
  <si>
    <t>Демонтажные работы</t>
  </si>
  <si>
    <t>46-04-001-4</t>
  </si>
  <si>
    <t>Разборка кирпичных стен</t>
  </si>
  <si>
    <t>1 м3</t>
  </si>
  <si>
    <t>ТЕР Чувашская республика (редакция 2014), 46-04-001-4, Приказ Минстроя России от 05.05.2015 № 337/пр</t>
  </si>
  <si>
    <t>Общестроительные работы</t>
  </si>
  <si>
    <t>Реконструкция зданий и сооружений</t>
  </si>
  <si>
    <t>ФЕР-46</t>
  </si>
  <si>
    <t>*0,9*0,7</t>
  </si>
  <si>
    <t>*0,85*0,9</t>
  </si>
  <si>
    <t>2</t>
  </si>
  <si>
    <t>46-03-007-3</t>
  </si>
  <si>
    <t>Пробивка проемов в конструкциях из кирпича</t>
  </si>
  <si>
    <t>ТЕР Чувашская республика (редакция 2014), 46-03-007-3, Приказ Минстроя России от 05.05.2015 № 337/пр</t>
  </si>
  <si>
    <t>3</t>
  </si>
  <si>
    <t>53-25-1</t>
  </si>
  <si>
    <t>Устройство металлических перемычек в стенах существующих зданий</t>
  </si>
  <si>
    <t>1 Т МЕТАЛЛОКОНСТРУКЦИЙ ПЕРЕМЫЧЕК</t>
  </si>
  <si>
    <t>ТЕРр Чувашская республика (редакция 2014), 53-25-1, Приказ Минстроя России от 05.05.2015 № 337/пр</t>
  </si>
  <si>
    <t>Ремонтно-строительные работы</t>
  </si>
  <si>
    <t>Стены</t>
  </si>
  <si>
    <t>рФЕР-53</t>
  </si>
  <si>
    <t>*0,7</t>
  </si>
  <si>
    <t>*0,9</t>
  </si>
  <si>
    <t>4</t>
  </si>
  <si>
    <t>63-7-5</t>
  </si>
  <si>
    <t>Разборка облицовки стен из керамических глазурованных плиток</t>
  </si>
  <si>
    <t>100 М2 ПОВЕРХНОСТИ ОБЛИЦОВКИ</t>
  </si>
  <si>
    <t>ТЕРр Чувашская республика (редакция 2014), 63-7-5, Приказ Минстроя России от 05.05.2015 № 337/пр</t>
  </si>
  <si>
    <t>Стекольные, обойные, облицовочные работы</t>
  </si>
  <si>
    <t>рФЕР-63</t>
  </si>
  <si>
    <t>5</t>
  </si>
  <si>
    <t>57-2-3</t>
  </si>
  <si>
    <t>Разборка покрытий полов из керамических плиток</t>
  </si>
  <si>
    <t>100 м2 покрытия</t>
  </si>
  <si>
    <t>ТЕРр Чувашская республика (редакция 2014), 57-2-3, Приказ Минстроя России от 05.05.2015 № 337/пр</t>
  </si>
  <si>
    <t>Полы</t>
  </si>
  <si>
    <t>рФЕР-57</t>
  </si>
  <si>
    <t>6</t>
  </si>
  <si>
    <t>46-04-012-3</t>
  </si>
  <si>
    <t>Разборка деревянных заполнений проемов дверных и воротных</t>
  </si>
  <si>
    <t>100 м2</t>
  </si>
  <si>
    <t>ТЕР Чувашская республика (редакция 2014), 46-04-012-3, Приказ Минстроя России от 05.05.2015 № 337/пр</t>
  </si>
  <si>
    <t>7</t>
  </si>
  <si>
    <t>46-02-009-2</t>
  </si>
  <si>
    <t>Отбивка штукатурки с поверхностей стен и потолков кирпичных</t>
  </si>
  <si>
    <t>ТЕР Чувашская республика (редакция 2014), 46-02-009-2, Приказ Минстроя России от 05.05.2015 № 337/пр</t>
  </si>
  <si>
    <t>8</t>
  </si>
  <si>
    <t>67-4-5</t>
  </si>
  <si>
    <t>Демонтаж светильников для люминесцентных ламп</t>
  </si>
  <si>
    <t>100 шт.</t>
  </si>
  <si>
    <t>ТЕРр Чувашская республика (редакция 2014), 67-4-5, Приказ Минстроя России от 05.05.2015 № 337/пр</t>
  </si>
  <si>
    <t>Электромонтажные работы</t>
  </si>
  <si>
    <t>рФЕР-67</t>
  </si>
  <si>
    <t>9</t>
  </si>
  <si>
    <t>65-4-2</t>
  </si>
  <si>
    <t>Демонтаж унитазов и писсуаров</t>
  </si>
  <si>
    <t>100 приборов</t>
  </si>
  <si>
    <t>ТЕРр Чувашская республика (редакция 2014), 65-4-2, Приказ Минстроя России от 05.05.2015 № 337/пр</t>
  </si>
  <si>
    <t>Внтуренниие с/техработы:  демонтаж, разборка, промывка</t>
  </si>
  <si>
    <t>рФЕР-65</t>
  </si>
  <si>
    <t>10</t>
  </si>
  <si>
    <t>65-4-1</t>
  </si>
  <si>
    <t>Демонтаж умывальников и раковин</t>
  </si>
  <si>
    <t>ТЕРр Чувашская республика (редакция 2014), 65-4-1, Приказ Минстроя России от 05.05.2015 № 337/пр</t>
  </si>
  <si>
    <t>11</t>
  </si>
  <si>
    <t>46-03-010-2</t>
  </si>
  <si>
    <t>Пробивка в бетонных стенах и полах толщиной 100 мм отверстий площадью до 100 см2</t>
  </si>
  <si>
    <t>100 отверстий</t>
  </si>
  <si>
    <t>ТЕР Чувашская республика (редакция 2014), 46-03-010-2, Приказ Минстроя России от 05.05.2015 № 337/пр</t>
  </si>
  <si>
    <t>Поправка: Прил.46.1, п.3.4  Наименование: При пробивке проемов,  отверстий и борозд в железобетонных конструкциях  Поправка: Прил.46.1, п.3.3.2  Наименование: При пробивке отверстий в конструкциях толщиной 150-200 мм</t>
  </si>
  <si>
    <t>)*1,1)*1,75</t>
  </si>
  <si>
    <t>Поправка: Прил.46.1, п.3.4  Поправка: Прил.46.1, п.3.3.2</t>
  </si>
  <si>
    <t>12</t>
  </si>
  <si>
    <t>65-8-2</t>
  </si>
  <si>
    <t>Смена трубопроводов из полиэтиленовых канализационных труб диаметром до 100 мм</t>
  </si>
  <si>
    <t>100 М ТРУБОПРОВОДА С ФАСОННЫМИ ЧАСТЯМИ</t>
  </si>
  <si>
    <t>ТЕРр Чувашская республика (редакция 2014), 65-8-2, Приказ Минстроя России от 05.05.2015 № 337/пр</t>
  </si>
  <si>
    <t>Внтуренниие с/техработы: смена труб</t>
  </si>
  <si>
    <t>13</t>
  </si>
  <si>
    <t>16-04-002-3</t>
  </si>
  <si>
    <t>Прокладка трубопроводов водоснабжения из напорных полиэтиленовых труб низкого давления среднего типа наружным диаметром 32 мм (ДЕМОНТАЖ)</t>
  </si>
  <si>
    <t>100 м трубопровода</t>
  </si>
  <si>
    <t>ТЕР Чувашская республика (редакция 2014), 16-04-002-3, Приказ Минстроя России от 05.05.2015 № 337/пр</t>
  </si>
  <si>
    <t>Поправка: МДС 81-36.2004, п.3.3.1.в  Наименование: При демонтаже внутренних санитарно-технических устройств (водопровода, газопровода, канализации, водостоков, отопления, вентиляции)</t>
  </si>
  <si>
    <t>)*0</t>
  </si>
  <si>
    <t>)*0,4</t>
  </si>
  <si>
    <t>Трубопроводы внутренние</t>
  </si>
  <si>
    <t>ФЕР-16</t>
  </si>
  <si>
    <t>Поправка: МДС 81-36.2004, п.3.3.1.в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</si>
  <si>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</si>
  <si>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</si>
  <si>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</si>
  <si>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</si>
  <si>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</si>
  <si>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</si>
  <si>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</si>
  <si>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</si>
  <si>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</si>
  <si>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</si>
  <si>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</si>
  <si>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</si>
  <si>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</si>
  <si>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</si>
  <si>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</si>
  <si>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</si>
  <si>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</si>
  <si>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</si>
  <si>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</si>
  <si>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</si>
  <si>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</si>
  <si>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</si>
  <si>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</si>
  <si>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</si>
  <si>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</si>
  <si>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</si>
  <si>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</si>
  <si>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</si>
  <si>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</si>
  <si>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</si>
  <si>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</si>
  <si>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</si>
  <si>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</si>
  <si>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</si>
  <si>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</si>
  <si>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</si>
  <si>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</si>
  <si>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</si>
  <si>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</si>
  <si>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</si>
  <si>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</si>
  <si>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</si>
  <si>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</si>
  <si>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</si>
  <si>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</si>
  <si>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</si>
  <si>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</si>
  <si>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</si>
  <si>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</si>
  <si>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</si>
  <si>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</si>
  <si>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</si>
  <si>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Итого</t>
  </si>
  <si>
    <t>Отделочные работы</t>
  </si>
  <si>
    <t>14</t>
  </si>
  <si>
    <t>Прокладка трубопроводов водоснабжения из напорных полиэтиленовых труб низкого давления среднего типа наружным диаметром 32 мм</t>
  </si>
  <si>
    <t>)*1,25</t>
  </si>
  <si>
    <t>)*1,15</t>
  </si>
  <si>
    <t>Поправка: МДС 81-35.2004, п.4.7</t>
  </si>
  <si>
    <t>15</t>
  </si>
  <si>
    <t>16</t>
  </si>
  <si>
    <t>15-04-006-3</t>
  </si>
  <si>
    <t>Покрытие поверхностей грунтовкой глубокого проникновения за 1 раз стен</t>
  </si>
  <si>
    <t>ТЕР Чувашская республика (редакция 2014), 15-04-006-3, Приказ Минстроя России от 05.05.2015 № 337/пр</t>
  </si>
  <si>
    <t>ФЕР-15</t>
  </si>
  <si>
    <t>17</t>
  </si>
  <si>
    <t>101-6968</t>
  </si>
  <si>
    <t>Состав грунтовочный ЛАЭС "Грунтовка глубокого проникновения"</t>
  </si>
  <si>
    <t>кг</t>
  </si>
  <si>
    <t>ТССЦ Чувашская республика (редакция 2014), 101-6968, Приказ Минстроя России от 05.05.2015 № 337/пр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</si>
  <si>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</si>
  <si>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</si>
  <si>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</si>
  <si>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18</t>
  </si>
  <si>
    <t>15-02-016-1</t>
  </si>
  <si>
    <t>Штукатурка поверхностей внутри здания цементно-известковым или цементным раствором по камню и бетону простая стен</t>
  </si>
  <si>
    <t>100 м2 оштукатуриваемой поверхности</t>
  </si>
  <si>
    <t>ТЕР Чувашская республика (редакция 2014), 15-02-016-1, Приказ Минстроя России от 05.05.2015 № 337/пр</t>
  </si>
  <si>
    <t>19</t>
  </si>
  <si>
    <t>15-01-019-5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</si>
  <si>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t>
  </si>
  <si>
    <t>ТЕР Чувашская республика (редакция 2014), 15-01-019-5, Приказ Минстроя России от 05.05.2015 № 337/пр</t>
  </si>
  <si>
    <t>19,1</t>
  </si>
  <si>
    <t>101-0256</t>
  </si>
  <si>
    <t>Плитки керамические глазурованные для внутренней облицовки стен гладкие без завала белые</t>
  </si>
  <si>
    <t>м2</t>
  </si>
  <si>
    <t>ТССЦ Чувашская республика (редакция 2014), 101-0256, Приказ Минстроя России от 05.05.2015 № 337/пр</t>
  </si>
  <si>
    <t>20</t>
  </si>
  <si>
    <t>101-0258</t>
  </si>
  <si>
    <t>Плитки керамические глазурованные для внутренней облицовки стен гладкие без завала цветные (однотонные)</t>
  </si>
  <si>
    <t>ТССЦ Чувашская республика (редакция 2014), 101-0258, Приказ Минстроя России от 05.05.2015 № 337/пр</t>
  </si>
  <si>
    <t>21</t>
  </si>
  <si>
    <t>11-01-047-1</t>
  </si>
  <si>
    <t>Устройство покрытий из плит керамогранитных размером 40х40 см</t>
  </si>
  <si>
    <t>ТЕР Чувашская республика (редакция 2014), 11-01-047-1, Приказ Минстроя России от 05.05.2015 № 337/пр</t>
  </si>
  <si>
    <t>ФЕР-11</t>
  </si>
  <si>
    <t>22</t>
  </si>
  <si>
    <t>23</t>
  </si>
  <si>
    <t>15-01-047-16</t>
  </si>
  <si>
    <t>Устройство потолков реечных алюминиевых</t>
  </si>
  <si>
    <t>ТЕР Чувашская республика (редакция 2014), 15-01-047-16, Приказ Минстроя России от 05.05.2015 № 337/пр</t>
  </si>
  <si>
    <t>24</t>
  </si>
  <si>
    <t>206-1338</t>
  </si>
  <si>
    <t>Уголок декоративный (пристенный)</t>
  </si>
  <si>
    <t>м</t>
  </si>
  <si>
    <t>ТССЦ Чувашская республика (редакция 2014), 206-1338, Приказ Минстроя России от 05.05.2015 № 337/пр</t>
  </si>
  <si>
    <t>25</t>
  </si>
  <si>
    <t>м08-03-593-6</t>
  </si>
  <si>
    <t>Светильник потолочный или настенный с креплением винтами или болтами для помещений с нормальными условиями среды, одноламповый</t>
  </si>
  <si>
    <t>ТЕРм Чувашская республика (редакция 2014), м08-03-593-6, Приказ Минстроя России от 05.05.2015 № 337/пр</t>
  </si>
  <si>
    <t>Монтажные работы</t>
  </si>
  <si>
    <t>Электромонтажные работы ,  отдел 01-03 : ( на АЭС  НР = 110% ) - (работы по упр. авиа.- движением:  СП=55% (  {АВИА}=1; обычные работы : СП=65 - {AВИА}=0), при работе на АЭС СП= 68% )</t>
  </si>
  <si>
    <t>мФЕР-08</t>
  </si>
  <si>
    <t>26</t>
  </si>
  <si>
    <t>509-0765</t>
  </si>
  <si>
    <t>Светильники потолочные НПП 03-100-001-МУ3</t>
  </si>
  <si>
    <t>шт.</t>
  </si>
  <si>
    <t>ТССЦ Чувашская республика (редакция 2014), 509-0765, Приказ Минстроя России от 05.05.2015 № 337/пр</t>
  </si>
  <si>
    <t>Материалы монтажные</t>
  </si>
  <si>
    <t>Материалы и конструкции ( монтажные )  по ценникам и каталогам</t>
  </si>
  <si>
    <t>ФССЦм</t>
  </si>
  <si>
    <t>27</t>
  </si>
  <si>
    <t>17-01-001-14</t>
  </si>
  <si>
    <t>Установка умывальников одиночных с подводкой холодной и горячей воды</t>
  </si>
  <si>
    <t>10 компл.</t>
  </si>
  <si>
    <t>ТЕР Чувашская республика (редакция 2014), 17-01-001-14, Приказ Минстроя России от 05.05.2015 № 337/пр</t>
  </si>
  <si>
    <t>*0</t>
  </si>
  <si>
    <t>Водопровод и канализация - внутренние устройства</t>
  </si>
  <si>
    <t>ФЕР-17</t>
  </si>
  <si>
    <t>28</t>
  </si>
  <si>
    <t>17-01-003-1</t>
  </si>
  <si>
    <t>Установка унитазов с бачком непосредственно присоединенным</t>
  </si>
  <si>
    <t>ТЕР Чувашская республика (редакция 2014), 17-01-003-1, Приказ Минстроя России от 05.05.2015 № 337/пр</t>
  </si>
  <si>
    <t>29</t>
  </si>
  <si>
    <t>10-01-039-1</t>
  </si>
  <si>
    <t>Установка блоков в наружных и внутренних дверных проемах в каменных стенах, площадь проема до 3 м2</t>
  </si>
  <si>
    <t>100 М2 ПРОЕМОВ</t>
  </si>
  <si>
    <t>ТЕР Чувашская республика (редакция 2014), 10-01-039-1, Приказ Минстроя России от 05.05.2015 № 337/пр</t>
  </si>
  <si>
    <t>Деревянные конструкции</t>
  </si>
  <si>
    <t>ФЕР-10</t>
  </si>
  <si>
    <t>29,1</t>
  </si>
  <si>
    <t>203-0223</t>
  </si>
  <si>
    <t>Блоки дверные с рамочными полотнами однопольные ДН 21-10, площадь 2,05 м2; ДН 24-10, площадь 2,35 м2</t>
  </si>
  <si>
    <t>ТССЦ Чувашская республика (редакция 2014), 203-0223, Приказ Минстроя России от 05.05.2015 № 337/пр</t>
  </si>
  <si>
    <t>30</t>
  </si>
  <si>
    <t>203-8095</t>
  </si>
  <si>
    <t>Блоки дверные внутренние однопольные глухие шлифованные, из массива сосны, тонированные</t>
  </si>
  <si>
    <t>ТССЦ Чувашская республика (редакция 2014), 203-8095, Приказ Минстроя России от 05.05.2015 № 337/пр</t>
  </si>
  <si>
    <t>31</t>
  </si>
  <si>
    <t>101-0950</t>
  </si>
  <si>
    <t>Замок врезной оцинкованный с цилиндровым механизмом</t>
  </si>
  <si>
    <t>компл.</t>
  </si>
  <si>
    <t>ТССЦ Чувашская республика (редакция 2014), 101-0950, Приказ Минстроя России от 05.05.2015 № 337/пр</t>
  </si>
  <si>
    <t>32</t>
  </si>
  <si>
    <t>10-01-060-1</t>
  </si>
  <si>
    <t>Установка и крепление наличников</t>
  </si>
  <si>
    <t>100 м коробок блоков</t>
  </si>
  <si>
    <t>ТЕР Чувашская республика (редакция 2014), 10-01-060-1, Приказ Минстроя России от 05.05.2015 № 337/пр</t>
  </si>
  <si>
    <t>33</t>
  </si>
  <si>
    <t>09-04-012-2</t>
  </si>
  <si>
    <t>Установка дверного доводчика к металлическим дверям</t>
  </si>
  <si>
    <t>1  ШТ.</t>
  </si>
  <si>
    <t>ТЕР Чувашская республика (редакция 2014), 09-04-012-2, Приказ Минстроя России от 05.05.2015 № 337/пр</t>
  </si>
  <si>
    <t>Металлические конструкции</t>
  </si>
  <si>
    <t>ФЕР-09</t>
  </si>
  <si>
    <t>34</t>
  </si>
  <si>
    <t>Прайс</t>
  </si>
  <si>
    <t>Доводчик G-U OTS 430 EN2-5, с рычажной тягой, BC, цвет - коричневый</t>
  </si>
  <si>
    <t>ТССЦ Чувашская республика (редакция 2014), 101-6978, Приказ Минстроя России от 05.05.2015 № 337/пр</t>
  </si>
  <si>
    <t>101-6978</t>
  </si>
  <si>
    <t>занесена вручную</t>
  </si>
  <si>
    <t>35</t>
  </si>
  <si>
    <t>17-01-002-4</t>
  </si>
  <si>
    <t>Установка гарнитуры туалетной: вешалок, подстаканников, поручней для ванн и т.д.</t>
  </si>
  <si>
    <t>10 шт.</t>
  </si>
  <si>
    <t>ТЕР Чувашская республика (редакция 2014), 17-01-002-4, Приказ Минстроя России от 05.05.2015 № 337/пр</t>
  </si>
  <si>
    <t>36</t>
  </si>
  <si>
    <t>Поручень для инвалидов откидной с бумагодержателем ПО-06.02.840.100.250</t>
  </si>
  <si>
    <t>Материалы, изделия и конструкции</t>
  </si>
  <si>
    <t>материалы (03)</t>
  </si>
  <si>
    <t>37</t>
  </si>
  <si>
    <t>Поручень для инвалидов прямой для санузлов (Скоба) L=800мм.Код: ПР-20</t>
  </si>
  <si>
    <t>38</t>
  </si>
  <si>
    <t>Поручень для инвалидов для раковины с двумя стойками и двумя креплениями в стену (из трубы 38х1,5)Код: ПР-07</t>
  </si>
  <si>
    <t>39</t>
  </si>
  <si>
    <t>Травмобезопасный крючок-держатель для костылей и одежды</t>
  </si>
  <si>
    <t>40</t>
  </si>
  <si>
    <t>10-05-009-1</t>
  </si>
  <si>
    <t>Облицовка стен по системе «КНАУФ» по одинарному металлическому каркасу из ПН и ПС профилей гипсокартонными листами в один слой (С 625) оконным проемом</t>
  </si>
  <si>
    <t>100 м2 стен (за вычетом проемов)</t>
  </si>
  <si>
    <t>ТЕР Чувашская республика (редакция 2014), 10-05-009-1, Приказ Минстроя России от 05.05.2015 № 337/пр</t>
  </si>
  <si>
    <t>Склад аптеки</t>
  </si>
  <si>
    <t>41</t>
  </si>
  <si>
    <t>57-2-1</t>
  </si>
  <si>
    <t>Разборка покрытий полов из линолеума и релина</t>
  </si>
  <si>
    <t>ТЕРр Чувашская республика (редакция 2014), 57-2-1, Приказ Минстроя России от 05.05.2015 № 337/пр</t>
  </si>
  <si>
    <t>42</t>
  </si>
  <si>
    <t>57-3-1</t>
  </si>
  <si>
    <t>Разборка плинтусов деревянных и из пластмассовых материалов</t>
  </si>
  <si>
    <t>100 М ПЛИНТУСА</t>
  </si>
  <si>
    <t>ТЕРр Чувашская республика (редакция 2014), 57-3-1, Приказ Минстроя России от 05.05.2015 № 337/пр</t>
  </si>
  <si>
    <t>43</t>
  </si>
  <si>
    <t>53-1-1</t>
  </si>
  <si>
    <t>Разборка обшивки неоштукатуренных деревянных стен</t>
  </si>
  <si>
    <t>100 м2 стен</t>
  </si>
  <si>
    <t>ТЕРр Чувашская республика (редакция 2014), 53-1-1, Приказ Минстроя России от 05.05.2015 № 337/пр</t>
  </si>
  <si>
    <t>44</t>
  </si>
  <si>
    <t>45</t>
  </si>
  <si>
    <t>62-41-1</t>
  </si>
  <si>
    <t>Очистка вручную поверхности фасадов от перхлорвиниловых и масляных красок с земли и лесов (потолков)</t>
  </si>
  <si>
    <t>100 М2 РАСЧИЩЕННОЙ ПОВЕРХНОСТИ</t>
  </si>
  <si>
    <t>ТЕРр Чувашская республика (редакция 2014), 62-41-1, Приказ Минстроя России от 05.05.2015 № 337/пр</t>
  </si>
  <si>
    <t>Малярные работы</t>
  </si>
  <si>
    <t>рФЕР-62</t>
  </si>
  <si>
    <t>46</t>
  </si>
  <si>
    <t>Очистка вручную поверхности фасадов от перхлорвиниловых и масляных красок с земли и лесов (стен)</t>
  </si>
  <si>
    <t>47</t>
  </si>
  <si>
    <t>48</t>
  </si>
  <si>
    <t>15-02-019-3</t>
  </si>
  <si>
    <t>Сплошное выравнивание внутренних поверхностей (однослойное оштукатуривание)из сухих растворных смесей толщиной до 10 мм стен</t>
  </si>
  <si>
    <t>ТЕР Чувашская республика (редакция 2014), 15-02-019-3, Приказ Минстроя России от 05.05.2015 № 337/пр</t>
  </si>
  <si>
    <t>49</t>
  </si>
  <si>
    <t>15-02-019-4</t>
  </si>
  <si>
    <t>Сплошное выравнивание внутренних поверхностей (однослойное оштукатуривание)из сухих растворных смесей толщиной до 10 мм потолков</t>
  </si>
  <si>
    <t>ТЕР Чувашская республика (редакция 2014), 15-02-019-4, Приказ Минстроя России от 05.05.2015 № 337/пр</t>
  </si>
  <si>
    <t>50</t>
  </si>
  <si>
    <t>15-04-005-3</t>
  </si>
  <si>
    <t>Окраска поливинилацетатными водоэмульсионными составами улучшенная по штукатурке стен</t>
  </si>
  <si>
    <t>100 м2 окрашиваемой поверхности</t>
  </si>
  <si>
    <t>ТЕР Чувашская республика (редакция 2014), 15-04-005-3, Приказ Минстроя России от 05.05.2015 № 337/пр</t>
  </si>
  <si>
    <t>51</t>
  </si>
  <si>
    <t>15-04-005-4</t>
  </si>
  <si>
    <t>Окраска поливинилацетатными водоэмульсионными составами улучшенная по штукатурке потолков</t>
  </si>
  <si>
    <t>ТЕР Чувашская республика (редакция 2014), 15-04-005-4, Приказ Минстроя России от 05.05.2015 № 337/пр</t>
  </si>
  <si>
    <t>52</t>
  </si>
  <si>
    <t>11-01-011-1</t>
  </si>
  <si>
    <t>Устройство стяжек цементных толщиной 20 мм</t>
  </si>
  <si>
    <t>100 м2 стяжки</t>
  </si>
  <si>
    <t>ТЕР Чувашская республика (редакция 2014), 11-01-011-1, Приказ Минстроя России от 05.05.2015 № 337/пр</t>
  </si>
  <si>
    <t>53</t>
  </si>
  <si>
    <t>11-01-011-2</t>
  </si>
  <si>
    <t>Устройство стяжек на каждые 5 мм изменения толщины стяжки добавлять или исключать к расценке 11-01-011-01</t>
  </si>
  <si>
    <t>ТЕР Чувашская республика (редакция 2014), 11-01-011-2, Приказ Минстроя России от 05.05.2015 № 337/пр</t>
  </si>
  <si>
    <t>*4</t>
  </si>
  <si>
    <t>)*1,25*4</t>
  </si>
  <si>
    <t>)*1,15*4</t>
  </si>
  <si>
    <t>54</t>
  </si>
  <si>
    <t>55</t>
  </si>
  <si>
    <t>56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</si>
  <si>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 (САПОЖКИ)</t>
  </si>
  <si>
    <t>56,1</t>
  </si>
  <si>
    <t>57</t>
  </si>
  <si>
    <t>101-5584</t>
  </si>
  <si>
    <t>Плитки керамогранитные размером 400х400х9 мм, светло-серые</t>
  </si>
  <si>
    <t>ТССЦ Чувашская республика (редакция 2014), 101-5584, Приказ Минстроя России от 05.05.2015 № 337/пр</t>
  </si>
  <si>
    <t>58</t>
  </si>
  <si>
    <t>15-02-031-1</t>
  </si>
  <si>
    <t>Штукатурка поверхностей оконных и дверных откосов по бетону и камню плоских</t>
  </si>
  <si>
    <t>ТЕР Чувашская республика (редакция 2014), 15-02-031-1, Приказ Минстроя России от 05.05.2015 № 337/пр</t>
  </si>
  <si>
    <t>59</t>
  </si>
  <si>
    <t>60</t>
  </si>
  <si>
    <t>60,1</t>
  </si>
  <si>
    <t>61</t>
  </si>
  <si>
    <t>62</t>
  </si>
  <si>
    <t>65-33-1</t>
  </si>
  <si>
    <t>Смена жалюзийных решеток</t>
  </si>
  <si>
    <t>100 ЖАЛЮЗИЙНЫХ РЕШЕТОК</t>
  </si>
  <si>
    <t>ТЕРр Чувашская республика (редакция 2014), 65-33-1, Приказ Минстроя России от 05.05.2015 № 337/пр</t>
  </si>
  <si>
    <t>63</t>
  </si>
  <si>
    <t>15-04-025-4</t>
  </si>
  <si>
    <t>Улучшенная окраска масляными составами по дереву заполнений дверных проемов</t>
  </si>
  <si>
    <t>ТЕР Чувашская республика (редакция 2014), 15-04-025-4, Приказ Минстроя России от 05.05.2015 № 337/пр</t>
  </si>
  <si>
    <t>64</t>
  </si>
  <si>
    <t>65</t>
  </si>
  <si>
    <t>66</t>
  </si>
  <si>
    <t>09-04-013-2</t>
  </si>
  <si>
    <t>Установка противопожарных дверей двупольных глухих</t>
  </si>
  <si>
    <t>1 м2 проема</t>
  </si>
  <si>
    <t>ТЕР Чувашская республика (редакция 2014), 09-04-013-2, Приказ Минстроя России от 05.05.2015 № 337/пр</t>
  </si>
  <si>
    <t>67</t>
  </si>
  <si>
    <t>203-8126</t>
  </si>
  <si>
    <t>Дверь противопожарная металлическая двупольная ДПМ-02/30, размером 1300х2100 мм</t>
  </si>
  <si>
    <t>ТССЦ Чувашская республика (редакция 2014), 203-8126, Приказ Минстроя России от 05.05.2015 № 337/пр</t>
  </si>
  <si>
    <t>Ремонт запасного входа</t>
  </si>
  <si>
    <t>68</t>
  </si>
  <si>
    <t>69</t>
  </si>
  <si>
    <t>69,1</t>
  </si>
  <si>
    <t>70</t>
  </si>
  <si>
    <t>71</t>
  </si>
  <si>
    <t>72</t>
  </si>
  <si>
    <t>73</t>
  </si>
  <si>
    <t>15-01-050-4</t>
  </si>
  <si>
    <t>Облицовка оконных и дверных откосов декоративным бумажно-слоистым пластиком или листами из синтетических материалов на клее (дверной добор)</t>
  </si>
  <si>
    <t>100 М2 ОБЛИЦОВКИ</t>
  </si>
  <si>
    <t>ТЕР Чувашская республика (редакция 2014), 15-01-050-4, Приказ Минстроя России от 05.05.2015 № 337/пр</t>
  </si>
  <si>
    <t>73,1</t>
  </si>
  <si>
    <t>101-1862</t>
  </si>
  <si>
    <t>Пластик бумажно-слоистый 2 с декоративной стороной</t>
  </si>
  <si>
    <t>1000 м2</t>
  </si>
  <si>
    <t>ТССЦ Чувашская республика (редакция 2014), 101-1862, Приказ Минстроя России от 05.05.2015 № 337/пр</t>
  </si>
  <si>
    <t>74</t>
  </si>
  <si>
    <t>Дверной добор</t>
  </si>
  <si>
    <t>75</t>
  </si>
  <si>
    <t>Облицовка оконных и дверных откосов декоративным бумажно-слоистым пластиком или листами из синтетических материалов на клее</t>
  </si>
  <si>
    <t>75,1</t>
  </si>
  <si>
    <t>76</t>
  </si>
  <si>
    <t>101-6872</t>
  </si>
  <si>
    <t>Сэндвич-панели для откосов (наружные слои – листы из поливинилхлорида, внутреннее наполнение – вспененный пенополистирол) белые, ширина 2 м, длина 3,0 м, толщина 10 мм</t>
  </si>
  <si>
    <t>ТССЦ Чувашская республика (редакция 2014), 101-6872, Приказ Минстроя России от 05.05.2015 № 337/пр</t>
  </si>
  <si>
    <t>77</t>
  </si>
  <si>
    <t>78</t>
  </si>
  <si>
    <t>46-02-007-1</t>
  </si>
  <si>
    <t>Кладка отдельных участков кирпичных стен и заделка проемов в кирпичных стенах при объеме кладки в одном месте до 5 м3</t>
  </si>
  <si>
    <t>ТЕР Чувашская республика (редакция 2014), 46-02-007-1, Приказ Минстроя России от 05.05.2015 № 337/пр</t>
  </si>
  <si>
    <t>79</t>
  </si>
  <si>
    <t>15-02-016-3</t>
  </si>
  <si>
    <t>Штукатурка поверхностей внутри здания цементно-известковым или цементным раствором по камню и бетону улучшенная стен</t>
  </si>
  <si>
    <t>ТЕР Чувашская республика (редакция 2014), 15-02-016-3, Приказ Минстроя России от 05.05.2015 № 337/пр</t>
  </si>
  <si>
    <t>80</t>
  </si>
  <si>
    <t>81</t>
  </si>
  <si>
    <t>З</t>
  </si>
  <si>
    <t>ЗМ</t>
  </si>
  <si>
    <t>ЗПМ (справочно)</t>
  </si>
  <si>
    <t>Э</t>
  </si>
  <si>
    <t>ЭММ, в т.ч. ЗПМ</t>
  </si>
  <si>
    <t>М</t>
  </si>
  <si>
    <t>Стоимость материалов</t>
  </si>
  <si>
    <t>Н</t>
  </si>
  <si>
    <t>С</t>
  </si>
  <si>
    <t>СП</t>
  </si>
  <si>
    <t>В</t>
  </si>
  <si>
    <t>НДС</t>
  </si>
  <si>
    <t>Возм-ние НДС (СтМат+ЭММ-ЗПМ+НР*0,1712+СП*0,15)*0,20</t>
  </si>
  <si>
    <t>Письмо НЗ-6292/10 от 6 октября 2003 г.</t>
  </si>
  <si>
    <t>И</t>
  </si>
  <si>
    <t>Итого с возм-ем НДС</t>
  </si>
  <si>
    <t>Переменная</t>
  </si>
  <si>
    <t>Новая переменная</t>
  </si>
  <si>
    <t>Переменная1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</si>
  <si>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</si>
  <si>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</si>
  <si>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</si>
  <si>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</si>
  <si>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</si>
  <si>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</si>
  <si>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</si>
  <si>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</si>
  <si>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</si>
  <si>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</si>
  <si>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</si>
  <si>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</si>
  <si>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</si>
  <si>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</si>
  <si>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</si>
  <si>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</si>
  <si>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</si>
  <si>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</si>
  <si>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</si>
  <si>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</si>
  <si>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</si>
  <si>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</si>
  <si>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</si>
  <si>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</si>
  <si>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</si>
  <si>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</si>
  <si>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</si>
  <si>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</si>
  <si>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</si>
  <si>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</si>
  <si>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</si>
  <si>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</si>
  <si>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</si>
  <si>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</si>
  <si>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</si>
  <si>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</si>
  <si>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</si>
  <si>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</si>
  <si>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</si>
  <si>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</si>
  <si>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</si>
  <si>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</si>
  <si>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</si>
  <si>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</si>
  <si>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</si>
  <si>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</si>
  <si>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</si>
  <si>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</si>
  <si>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</si>
  <si>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</si>
  <si>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</si>
  <si>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</si>
  <si>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</si>
  <si>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</si>
  <si>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</si>
  <si>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</si>
  <si>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</si>
  <si>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</si>
  <si>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</si>
  <si>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</si>
  <si>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</si>
  <si>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Текущий уровень цен</t>
  </si>
  <si>
    <t>Сборник индексов</t>
  </si>
  <si>
    <t>ТСН Чувашской республики (редакция 2014 г)</t>
  </si>
  <si>
    <t>_OBSM_</t>
  </si>
  <si>
    <t>1-1033-21</t>
  </si>
  <si>
    <t>Рабочий строитель среднего разряда 3,3</t>
  </si>
  <si>
    <t>чел.-ч</t>
  </si>
  <si>
    <t>Затраты труда машинистов</t>
  </si>
  <si>
    <t>чел.час</t>
  </si>
  <si>
    <t>050101</t>
  </si>
  <si>
    <t>ТСЭМ Чувашская республика (редакция 2014), 050101, Приказ Минстроя России от 05.05.2015 № 337/пр</t>
  </si>
  <si>
    <t>Компрессоры передвижные с двигателем внутреннего сгорания давлением до 686 кПа (7 ат), производительность  до 5 м3/мин</t>
  </si>
  <si>
    <t>маш.-ч</t>
  </si>
  <si>
    <t>330804</t>
  </si>
  <si>
    <t>ТСЭМ Чувашская республика (редакция 2014), 330804, Приказ Минстроя России от 05.05.2015 № 337/пр</t>
  </si>
  <si>
    <t>Молотки при работе от передвижных компрессорных станций отбойные пневматические</t>
  </si>
  <si>
    <t>1-1034-21</t>
  </si>
  <si>
    <t>Рабочий строитель среднего разряда 3,4</t>
  </si>
  <si>
    <t>1-1031-21</t>
  </si>
  <si>
    <t>Рабочий строитель среднего разряда 3,1</t>
  </si>
  <si>
    <t>030401</t>
  </si>
  <si>
    <t>ТСЭМ Чувашская республика (редакция 2014), 030401, Приказ Минстроя России от 05.05.2015 № 337/пр</t>
  </si>
  <si>
    <t>Лебедки электрические тяговым усилием до 5,79 кН (0,59 т)</t>
  </si>
  <si>
    <t>040502</t>
  </si>
  <si>
    <t>ТСЭМ Чувашская республика (редакция 2014), 040502, Приказ Минстроя России от 05.05.2015 № 337/пр</t>
  </si>
  <si>
    <t>Установки для сварки ручной дуговой (постоянного тока)</t>
  </si>
  <si>
    <t>400001</t>
  </si>
  <si>
    <t>ТСЭМ Чувашская республика (редакция 2014), 400001, Приказ Минстроя России от 05.05.2015 № 337/пр</t>
  </si>
  <si>
    <t>Автомобили бортовые, грузоподъемность до 5 т</t>
  </si>
  <si>
    <t>101-1529</t>
  </si>
  <si>
    <t>ТССЦ Чувашская республика (редакция 2014), 101-1529, Приказ Минстроя России от 05.05.2015 № 337/пр</t>
  </si>
  <si>
    <t>Электроды диаметром 6 мм Э42</t>
  </si>
  <si>
    <t>т</t>
  </si>
  <si>
    <t>201-0761</t>
  </si>
  <si>
    <t>ТССЦ Чувашская республика (редакция 2014), 201-0761, Приказ Минстроя России от 05.05.2015 № 337/пр</t>
  </si>
  <si>
    <t>Отдельные конструктивные элементы зданий и сооружений с преобладанием гнутых профилей, средняя масса сборочной единицы свыше 0,1 до 0,5 т</t>
  </si>
  <si>
    <t>402-0013</t>
  </si>
  <si>
    <t>ТССЦ Чувашская республика (редакция 2014), 402-0013, Приказ Минстроя России от 05.05.2015 № 337/пр</t>
  </si>
  <si>
    <t>Раствор готовый кладочный цементно-известковый марки 50</t>
  </si>
  <si>
    <t>м3</t>
  </si>
  <si>
    <t>404-0005</t>
  </si>
  <si>
    <t>ТССЦ Чувашская республика (редакция 2014), 404-0005, Приказ Минстроя России от 05.05.2015 № 337/пр</t>
  </si>
  <si>
    <t>Кирпич керамический одинарный, размером 250х120х65 мм, марка 100</t>
  </si>
  <si>
    <t>1000 шт.</t>
  </si>
  <si>
    <t>1-1021-21</t>
  </si>
  <si>
    <t>Рабочий строитель среднего разряда 2,1</t>
  </si>
  <si>
    <t>030954</t>
  </si>
  <si>
    <t>ТСЭМ Чувашская республика (редакция 2014), 030954, Приказ Минстроя России от 05.05.2015 № 337/пр</t>
  </si>
  <si>
    <t>Подъемники грузоподъемностью до 500 кг одномачтовые, высота подъема 45 м</t>
  </si>
  <si>
    <t>1-1030-21</t>
  </si>
  <si>
    <t>Рабочий строитель среднего разряда 3</t>
  </si>
  <si>
    <t>509-9900</t>
  </si>
  <si>
    <t>ТССЦ Чувашская республика (редакция 2014), 509-9900, Приказ Минстроя России от 05.05.2015 № 337/пр</t>
  </si>
  <si>
    <t>Строительный мусор</t>
  </si>
  <si>
    <t>1-1024-21</t>
  </si>
  <si>
    <t>Рабочий строитель среднего разряда 2,4</t>
  </si>
  <si>
    <t>1-1020-21</t>
  </si>
  <si>
    <t>Рабочий строитель среднего разряда 2</t>
  </si>
  <si>
    <t>1-1023-21</t>
  </si>
  <si>
    <t>Рабочий строитель среднего разряда 2,3</t>
  </si>
  <si>
    <t>509-9899</t>
  </si>
  <si>
    <t>ТССЦ Чувашская республика (редакция 2014), 509-9899, Приказ Минстроя России от 05.05.2015 № 337/пр</t>
  </si>
  <si>
    <t>Строительный мусор и масса возвратных материалов</t>
  </si>
  <si>
    <t>1-1039-21</t>
  </si>
  <si>
    <t>Рабочий строитель среднего разряда 3,9</t>
  </si>
  <si>
    <t>1-1042-21</t>
  </si>
  <si>
    <t>Рабочий строитель среднего разряда 4,2</t>
  </si>
  <si>
    <t>101-2449</t>
  </si>
  <si>
    <t>ТССЦ Чувашская республика (редакция 2014), 101-2449, Приказ Минстроя России от 05.05.2015 № 337/пр</t>
  </si>
  <si>
    <t>Кольца резиновые для чугунных напорных труб диаметром 50-300 мм</t>
  </si>
  <si>
    <t>101-2576</t>
  </si>
  <si>
    <t>ТССЦ Чувашская республика (редакция 2014), 101-2576, Приказ Минстроя России от 05.05.2015 № 337/пр</t>
  </si>
  <si>
    <t>Болты с гайками и шайбами для санитарно-технических работ диаметром 16 мм</t>
  </si>
  <si>
    <t>301-9240</t>
  </si>
  <si>
    <t>ТССЦ Чувашская республика (редакция 2014), 301-9240, Приказ Минстроя России от 05.05.2015 № 337/пр</t>
  </si>
  <si>
    <t>Крепления</t>
  </si>
  <si>
    <t>302-1325</t>
  </si>
  <si>
    <t>ТССЦ Чувашская республика (редакция 2014), 302-1325, Приказ Минстроя России от 05.05.2015 № 337/пр</t>
  </si>
  <si>
    <t>Трубопроводы для внутренней канализации из поливинилхлоридных труб диаметром 100 мм</t>
  </si>
  <si>
    <t>020129</t>
  </si>
  <si>
    <t>ТСЭМ Чувашская республика (редакция 2014), 020129, Приказ Минстроя России от 05.05.2015 № 337/пр</t>
  </si>
  <si>
    <t>Краны башенные при работе на других видах строительства 8 т</t>
  </si>
  <si>
    <t>021141</t>
  </si>
  <si>
    <t>ТСЭМ Чувашская республика (редакция 2014), 021141, Приказ Минстроя России от 05.05.2015 № 337/пр</t>
  </si>
  <si>
    <t>Краны на автомобильном ходу при работе на других видах строительства 10 т</t>
  </si>
  <si>
    <t>081600</t>
  </si>
  <si>
    <t>ТСЭМ Чувашская республика (редакция 2014), 081600, Приказ Минстроя России от 05.05.2015 № 337/пр</t>
  </si>
  <si>
    <t>Агрегаты для сварки полиэтиленовых труб</t>
  </si>
  <si>
    <t>101-0137</t>
  </si>
  <si>
    <t>ТССЦ Чувашская республика (редакция 2014), 101-0137, Приказ Минстроя России от 05.05.2015 № 337/пр</t>
  </si>
  <si>
    <t>Дюбели с калиброванной головкой (в обоймах) 3х58,5 мм</t>
  </si>
  <si>
    <t>101-0329</t>
  </si>
  <si>
    <t>ТССЦ Чувашская республика (редакция 2014), 101-0329, Приказ Минстроя России от 05.05.2015 № 337/пр</t>
  </si>
  <si>
    <t>Клей 88-СА</t>
  </si>
  <si>
    <t>101-1680</t>
  </si>
  <si>
    <t>ТССЦ Чувашская республика (редакция 2014), 101-1680, Приказ Минстроя России от 05.05.2015 № 337/пр</t>
  </si>
  <si>
    <t>Патроны для строительно-монтажного пистолета</t>
  </si>
  <si>
    <t>101-1700</t>
  </si>
  <si>
    <t>ТССЦ Чувашская республика (редакция 2014), 101-1700, Приказ Минстроя России от 05.05.2015 № 337/пр</t>
  </si>
  <si>
    <t>Наконечники для полиэтиленовых труб</t>
  </si>
  <si>
    <t>103-9140</t>
  </si>
  <si>
    <t>ТССЦ Чувашская республика (редакция 2014), 103-9140, Приказ Минстроя России от 05.05.2015 № 337/пр</t>
  </si>
  <si>
    <t>Арматура муфтовая</t>
  </si>
  <si>
    <t>113-0473</t>
  </si>
  <si>
    <t>ТССЦ Чувашская республика (редакция 2014), 113-0473, Приказ Минстроя России от 05.05.2015 № 337/пр</t>
  </si>
  <si>
    <t>Метиленхлорид</t>
  </si>
  <si>
    <t>302-9911</t>
  </si>
  <si>
    <t>ТССЦ Чувашская республика (редакция 2014), 302-9911, Приказ Минстроя России от 05.05.2015 № 337/пр</t>
  </si>
  <si>
    <t>Фасонные и соединительные части к полиэтиленовым трубам</t>
  </si>
  <si>
    <t>405-1601</t>
  </si>
  <si>
    <t>ТССЦ Чувашская республика (редакция 2014), 405-1601, Приказ Минстроя России от 05.05.2015 № 337/пр</t>
  </si>
  <si>
    <t>Известь строительная негашеная хлорная, марки А</t>
  </si>
  <si>
    <t>411-0001</t>
  </si>
  <si>
    <t>ТССЦ Чувашская республика (редакция 2014), 411-0001, Приказ Минстроя России от 05.05.2015 № 337/пр</t>
  </si>
  <si>
    <t>Вода</t>
  </si>
  <si>
    <t>507-0589</t>
  </si>
  <si>
    <t>ТССЦ Чувашская республика (редакция 2014), 507-0589, Приказ Минстроя России от 05.05.2015 № 337/пр</t>
  </si>
  <si>
    <t>Трубы напорные из полиэтилена низкого давления среднего типа, наружным диаметром 32 мм</t>
  </si>
  <si>
    <t>10 м</t>
  </si>
  <si>
    <t>1-1040-21</t>
  </si>
  <si>
    <t>Рабочий строитель среднего разряда 4</t>
  </si>
  <si>
    <t>101-1757</t>
  </si>
  <si>
    <t>ТССЦ Чувашская республика (редакция 2014), 101-1757, Приказ Минстроя России от 05.05.2015 № 337/пр</t>
  </si>
  <si>
    <t>Ветошь</t>
  </si>
  <si>
    <t>101-9732</t>
  </si>
  <si>
    <t>ТССЦ Чувашская республика (редакция 2014), 101-9732, Приказ Минстроя России от 05.05.2015 № 337/пр</t>
  </si>
  <si>
    <t>Грунтовка</t>
  </si>
  <si>
    <t>1-1035-21</t>
  </si>
  <si>
    <t>Рабочий строитель среднего разряда 3,5</t>
  </si>
  <si>
    <t>111500</t>
  </si>
  <si>
    <t>ТСЭМ Чувашская республика (редакция 2014), 111500, Приказ Минстроя России от 05.05.2015 № 337/пр</t>
  </si>
  <si>
    <t>Растворонасосы 1 м3/ч</t>
  </si>
  <si>
    <t>101-0179</t>
  </si>
  <si>
    <t>ТССЦ Чувашская республика (редакция 2014), 101-0179, Приказ Минстроя России от 05.05.2015 № 337/пр</t>
  </si>
  <si>
    <t>Гвозди строительные с плоской головкой 1,6x50 мм</t>
  </si>
  <si>
    <t>101-0874</t>
  </si>
  <si>
    <t>ТССЦ Чувашская республика (редакция 2014), 101-0874, Приказ Минстроя России от 05.05.2015 № 337/пр</t>
  </si>
  <si>
    <t>Сетка тканая с квадратными ячейками № 05 без покрытия</t>
  </si>
  <si>
    <t>402-0083</t>
  </si>
  <si>
    <t>ТССЦ Чувашская республика (редакция 2014), 402-0083, Приказ Минстроя России от 05.05.2015 № 337/пр</t>
  </si>
  <si>
    <t>Раствор готовый отделочный тяжелый, цементно-известковый 1:1:6</t>
  </si>
  <si>
    <t>405-0219</t>
  </si>
  <si>
    <t>ТССЦ Чувашская республика (редакция 2014), 405-0219, Приказ Минстроя России от 05.05.2015 № 337/пр</t>
  </si>
  <si>
    <t>Гипсовые вяжущие, марка Г3</t>
  </si>
  <si>
    <t>1-1036-21</t>
  </si>
  <si>
    <t>Рабочий строитель среднего разряда 3,6</t>
  </si>
  <si>
    <t>030101</t>
  </si>
  <si>
    <t>ТСЭМ Чувашская республика (редакция 2014), 030101, Приказ Минстроя России от 05.05.2015 № 337/пр</t>
  </si>
  <si>
    <t>Автопогрузчики 5 т</t>
  </si>
  <si>
    <t>110901</t>
  </si>
  <si>
    <t>ТСЭМ Чувашская республика (редакция 2014), 110901, Приказ Минстроя России от 05.05.2015 № 337/пр</t>
  </si>
  <si>
    <t>Растворосмесители передвижные 65 л</t>
  </si>
  <si>
    <t>101-1776</t>
  </si>
  <si>
    <t>ТССЦ Чувашская республика (редакция 2014), 101-1776, Приказ Минстроя России от 05.05.2015 № 337/пр</t>
  </si>
  <si>
    <t>Клей для облицовочных работ водостойкий «Плюс» (сухая смесь)</t>
  </si>
  <si>
    <t>402-0071</t>
  </si>
  <si>
    <t>ТССЦ Чувашская республика (редакция 2014), 402-0071, Приказ Минстроя России от 05.05.2015 № 337/пр</t>
  </si>
  <si>
    <t>Смесь сухая (фуга) АТЛАС разных цветов для заделки швов водостойкая</t>
  </si>
  <si>
    <t>1-1032-21</t>
  </si>
  <si>
    <t>Рабочий строитель среднего разряда 3,2</t>
  </si>
  <si>
    <t>020128</t>
  </si>
  <si>
    <t>ТСЭМ Чувашская республика (редакция 2014), 020128, Приказ Минстроя России от 05.05.2015 № 337/пр</t>
  </si>
  <si>
    <t>Краны башенные при работе на других видах строительства 5 т</t>
  </si>
  <si>
    <t>021140</t>
  </si>
  <si>
    <t>ТСЭМ Чувашская республика (редакция 2014), 021140, Приказ Минстроя России от 05.05.2015 № 337/пр</t>
  </si>
  <si>
    <t>Краны на автомобильном ходу при работе на других видах строительства 6,3 т</t>
  </si>
  <si>
    <t>339904</t>
  </si>
  <si>
    <t>ТСЭМ Чувашская республика (редакция 2014), 339904, Приказ Минстроя России от 05.05.2015 № 337/пр</t>
  </si>
  <si>
    <t>Плиткорез MAKITA RH 4101</t>
  </si>
  <si>
    <t>101-1971</t>
  </si>
  <si>
    <t>ТССЦ Чувашская республика (редакция 2014), 101-1971, Приказ Минстроя России от 05.05.2015 № 337/пр</t>
  </si>
  <si>
    <t>Затирка «Старатели» (разной цветности)</t>
  </si>
  <si>
    <t>101-4368</t>
  </si>
  <si>
    <t>ТССЦ Чувашская республика (редакция 2014), 101-4368, Приказ Минстроя России от 05.05.2015 № 337/пр</t>
  </si>
  <si>
    <t>Клей плиточный «Юнис Гранит»</t>
  </si>
  <si>
    <t>101-4486</t>
  </si>
  <si>
    <t>ТССЦ Чувашская республика (редакция 2014), 101-4486, Приказ Минстроя России от 05.05.2015 № 337/пр</t>
  </si>
  <si>
    <t>Гранит керамический многоцветный неполированный, размером 400х400х9 мм</t>
  </si>
  <si>
    <t>203-9007</t>
  </si>
  <si>
    <t>ТССЦ Чувашская республика (редакция 2014), 203-9007, Приказ Минстроя России от 05.05.2015 № 337/пр</t>
  </si>
  <si>
    <t>Рейки деревянные</t>
  </si>
  <si>
    <t>1-1038-21</t>
  </si>
  <si>
    <t>Рабочий строитель среднего разряда 3,8</t>
  </si>
  <si>
    <t>030404</t>
  </si>
  <si>
    <t>ТСЭМ Чувашская республика (редакция 2014), 030404, Приказ Минстроя России от 05.05.2015 № 337/пр</t>
  </si>
  <si>
    <t>Лебедки электрические тяговым усилием до 31,39 кН (3,2 т)</t>
  </si>
  <si>
    <t>330206</t>
  </si>
  <si>
    <t>ТСЭМ Чувашская республика (редакция 2014), 330206, Приказ Минстроя России от 05.05.2015 № 337/пр</t>
  </si>
  <si>
    <t>Дрели электрические</t>
  </si>
  <si>
    <t>206-1336</t>
  </si>
  <si>
    <t>ТССЦ Чувашская республика (редакция 2014), 206-1336, Приказ Минстроя России от 05.05.2015 № 337/пр</t>
  </si>
  <si>
    <t>Рейка алюминиевая потолочная 100 мм</t>
  </si>
  <si>
    <t>206-1337</t>
  </si>
  <si>
    <t>ТССЦ Чувашская республика (редакция 2014), 206-1337, Приказ Минстроя России от 05.05.2015 № 337/пр</t>
  </si>
  <si>
    <t>Гребенка несущая</t>
  </si>
  <si>
    <t>206-1339</t>
  </si>
  <si>
    <t>ТССЦ Чувашская республика (редакция 2014), 206-1339, Приказ Минстроя России от 05.05.2015 № 337/пр</t>
  </si>
  <si>
    <t>Подвес в комплекте</t>
  </si>
  <si>
    <t>1-2042-21</t>
  </si>
  <si>
    <t>Рабочий монтажник среднего разряда 4,2</t>
  </si>
  <si>
    <t>021102</t>
  </si>
  <si>
    <t>ТСЭМ Чувашская республика (редакция 2014), 021102, Приказ Минстроя России от 05.05.2015 № 337/пр</t>
  </si>
  <si>
    <t>Краны на автомобильном ходу при работе на монтаже технологического оборудования 10 т</t>
  </si>
  <si>
    <t>101-0115</t>
  </si>
  <si>
    <t>ТССЦ Чувашская республика (редакция 2014), 101-0115, Приказ Минстроя России от 05.05.2015 № 337/пр</t>
  </si>
  <si>
    <t>Винты с полукруглой головкой длиной 50 мм</t>
  </si>
  <si>
    <t>101-2499</t>
  </si>
  <si>
    <t>ТССЦ Чувашская республика (редакция 2014), 101-2499, Приказ Минстроя России от 05.05.2015 № 337/пр</t>
  </si>
  <si>
    <t>Лента изоляционная прорезиненная односторонняя ширина 20 мм, толщина 0,25-0,35 мм</t>
  </si>
  <si>
    <t>101-3914</t>
  </si>
  <si>
    <t>ТССЦ Чувашская республика (редакция 2014), 101-3914, Приказ Минстроя России от 05.05.2015 № 337/пр</t>
  </si>
  <si>
    <t>Дюбели распорные полипропиленовые</t>
  </si>
  <si>
    <t>509-0167</t>
  </si>
  <si>
    <t>ТССЦ Чувашская республика (редакция 2014), 509-0167, Приказ Минстроя России от 05.05.2015 № 337/пр</t>
  </si>
  <si>
    <t>Сжимы соединительные</t>
  </si>
  <si>
    <t>999-9950</t>
  </si>
  <si>
    <t>ТССЦ Чувашская республика (редакция 2014), 999-9950, Приказ Минстроя России от 05.05.2015 № 337/пр</t>
  </si>
  <si>
    <t>Вспомогательные ненормируемые материалы (2% от ОЗП)</t>
  </si>
  <si>
    <t>РУБ</t>
  </si>
  <si>
    <t>101-0388</t>
  </si>
  <si>
    <t>ТССЦ Чувашская республика (редакция 2014), 101-0388, Приказ Минстроя России от 05.05.2015 № 337/пр</t>
  </si>
  <si>
    <t>Краски масляные земляные марки МА-0115 мумия, сурик железный</t>
  </si>
  <si>
    <t>101-0628</t>
  </si>
  <si>
    <t>ТССЦ Чувашская республика (редакция 2014), 101-0628, Приказ Минстроя России от 05.05.2015 № 337/пр</t>
  </si>
  <si>
    <t>Олифа комбинированная, марки К-3</t>
  </si>
  <si>
    <t>101-0782</t>
  </si>
  <si>
    <t>ТССЦ Чувашская республика (редакция 2014), 101-0782, Приказ Минстроя России от 05.05.2015 № 337/пр</t>
  </si>
  <si>
    <t>Поковки из квадратных заготовок, масса 1,8 кг</t>
  </si>
  <si>
    <t>101-1669</t>
  </si>
  <si>
    <t>ТССЦ Чувашская республика (редакция 2014), 101-1669, Приказ Минстроя России от 05.05.2015 № 337/пр</t>
  </si>
  <si>
    <t>Очес льняной</t>
  </si>
  <si>
    <t>101-1847</t>
  </si>
  <si>
    <t>ТССЦ Чувашская республика (редакция 2014), 101-1847, Приказ Минстроя России от 05.05.2015 № 337/пр</t>
  </si>
  <si>
    <t>Замазка защитная</t>
  </si>
  <si>
    <t>101-2186</t>
  </si>
  <si>
    <t>ТССЦ Чувашская республика (редакция 2014), 101-2186, Приказ Минстроя России от 05.05.2015 № 337/пр</t>
  </si>
  <si>
    <t>Шурупы с полукруглой головкой 6х90 мм</t>
  </si>
  <si>
    <t>101-2204</t>
  </si>
  <si>
    <t>ТССЦ Чувашская республика (редакция 2014), 101-2204, Приказ Минстроя России от 05.05.2015 № 337/пр</t>
  </si>
  <si>
    <t>Дюбели распорные полиэтиленовые 8х40 мм</t>
  </si>
  <si>
    <t>301-0825</t>
  </si>
  <si>
    <t>ТССЦ Чувашская республика (редакция 2014), 301-0825, Приказ Минстроя России от 05.05.2015 № 337/пр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</si>
  <si>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550х480х150 мм</t>
  </si>
  <si>
    <t>101-0311</t>
  </si>
  <si>
    <t>ТССЦ Чувашская республика (редакция 2014), 101-0311, Приказ Минстроя России от 05.05.2015 № 337/пр</t>
  </si>
  <si>
    <t>Каболка</t>
  </si>
  <si>
    <t>101-0849</t>
  </si>
  <si>
    <t>ТССЦ Чувашская республика (редакция 2014), 101-0849, Приказ Минстроя России от 05.05.2015 № 337/пр</t>
  </si>
  <si>
    <t>Пластина резиновая рулонная вулканизированная</t>
  </si>
  <si>
    <t>101-2184</t>
  </si>
  <si>
    <t>ТССЦ Чувашская республика (редакция 2014), 101-2184, Приказ Минстроя России от 05.05.2015 № 337/пр</t>
  </si>
  <si>
    <t>Шурупы с полукруглой головкой 6х60 мм</t>
  </si>
  <si>
    <t>101-2203</t>
  </si>
  <si>
    <t>ТССЦ Чувашская республика (редакция 2014), 101-2203, Приказ Минстроя России от 05.05.2015 № 337/пр</t>
  </si>
  <si>
    <t>Дюбели распорные полиэтиленовые 8х30 мм</t>
  </si>
  <si>
    <t>113-0074</t>
  </si>
  <si>
    <t>ТССЦ Чувашская республика (редакция 2014), 113-0074, Приказ Минстроя России от 05.05.2015 № 337/пр</t>
  </si>
  <si>
    <t>Клей фенолполивинилацетатный марки БФ-2, сорт I</t>
  </si>
  <si>
    <t>301-1521</t>
  </si>
  <si>
    <t>ТССЦ Чувашская республика (редакция 2014), 301-1521, Приказ Минстроя России от 05.05.2015 № 337/пр</t>
  </si>
  <si>
    <t>Унитаз-компакт «Комфорт»</t>
  </si>
  <si>
    <t>509-1792</t>
  </si>
  <si>
    <t>ТССЦ Чувашская республика (редакция 2014), 509-1792, Приказ Минстроя России от 05.05.2015 № 337/пр</t>
  </si>
  <si>
    <t>Скобы скрепляющие и для подвеса</t>
  </si>
  <si>
    <t>121011</t>
  </si>
  <si>
    <t>ТСЭМ Чувашская республика (редакция 2014), 121011, Приказ Минстроя России от 05.05.2015 № 337/пр</t>
  </si>
  <si>
    <t>Котлы битумные передвижные 400 л</t>
  </si>
  <si>
    <t>101-0195</t>
  </si>
  <si>
    <t>ТССЦ Чувашская республика (редакция 2014), 101-0195, Приказ Минстроя России от 05.05.2015 № 337/пр</t>
  </si>
  <si>
    <t>Гвозди толевые круглые 3,0х40 мм</t>
  </si>
  <si>
    <t>101-1591</t>
  </si>
  <si>
    <t>ТССЦ Чувашская республика (редакция 2014), 101-1591, Приказ Минстроя России от 05.05.2015 № 337/пр</t>
  </si>
  <si>
    <t>Смола каменноугольная для дорожного строительства</t>
  </si>
  <si>
    <t>101-1742</t>
  </si>
  <si>
    <t>ТССЦ Чувашская республика (редакция 2014), 101-1742, Приказ Минстроя России от 05.05.2015 № 337/пр</t>
  </si>
  <si>
    <t>Толь с крупнозернистой посыпкой гидроизоляционный марки ТГ-350</t>
  </si>
  <si>
    <t>101-1789</t>
  </si>
  <si>
    <t>ТССЦ Чувашская республика (редакция 2014), 101-1789, Приказ Минстроя России от 05.05.2015 № 337/пр</t>
  </si>
  <si>
    <t>Ерши металлические строительные</t>
  </si>
  <si>
    <t>101-1805</t>
  </si>
  <si>
    <t>ТССЦ Чувашская республика (редакция 2014), 101-1805, Приказ Минстроя России от 05.05.2015 № 337/пр</t>
  </si>
  <si>
    <t>Гвозди строительные</t>
  </si>
  <si>
    <t>101-8052</t>
  </si>
  <si>
    <t>ТССЦ Чувашская республика (редакция 2014), 101-8052, Приказ Минстроя России от 05.05.2015 № 337/пр</t>
  </si>
  <si>
    <t>Пена монтажная</t>
  </si>
  <si>
    <t>л</t>
  </si>
  <si>
    <t>101-9411</t>
  </si>
  <si>
    <t>ТССЦ Чувашская республика (редакция 2014), 101-9411, Приказ Минстроя России от 05.05.2015 № 337/пр</t>
  </si>
  <si>
    <t>Скобяные изделия</t>
  </si>
  <si>
    <t>102-0053</t>
  </si>
  <si>
    <t>ТССЦ Чувашская республика (редакция 2014), 102-0053, Приказ Минстроя России от 05.05.2015 № 337/пр</t>
  </si>
  <si>
    <t>Доски обрезные хвойных пород длиной 4-6,5 м, шириной 75-150 мм, толщиной 25 мм, III сорта</t>
  </si>
  <si>
    <t>402-0087</t>
  </si>
  <si>
    <t>ТССЦ Чувашская республика (редакция 2014), 402-0087, Приказ Минстроя России от 05.05.2015 № 337/пр</t>
  </si>
  <si>
    <t>Раствор готовый отделочный тяжелый, известковый 1:2,0</t>
  </si>
  <si>
    <t>1-1025-21</t>
  </si>
  <si>
    <t>Рабочий строитель среднего разряда 2,5</t>
  </si>
  <si>
    <t>203-0359</t>
  </si>
  <si>
    <t>ТССЦ Чувашская республика (редакция 2014), 203-0359, Приказ Минстроя России от 05.05.2015 № 337/пр</t>
  </si>
  <si>
    <t>Наличники из древесины типа Н-1, Н-2 размером 13х54 мм</t>
  </si>
  <si>
    <t>134041</t>
  </si>
  <si>
    <t>ТСЭМ Чувашская республика (редакция 2014), 134041, Приказ Минстроя России от 05.05.2015 № 337/пр</t>
  </si>
  <si>
    <t>Шуруповерт</t>
  </si>
  <si>
    <t>330301</t>
  </si>
  <si>
    <t>ТСЭМ Чувашская республика (редакция 2014), 330301, Приказ Минстроя России от 05.05.2015 № 337/пр</t>
  </si>
  <si>
    <t>Машины шлифовальные электрические</t>
  </si>
  <si>
    <t>101-1513</t>
  </si>
  <si>
    <t>ТССЦ Чувашская республика (редакция 2014), 101-1513, Приказ Минстроя России от 05.05.2015 № 337/пр</t>
  </si>
  <si>
    <t>Электроды диаметром 4 мм Э42</t>
  </si>
  <si>
    <t>101-1845</t>
  </si>
  <si>
    <t>ТССЦ Чувашская республика (редакция 2014), 101-1845, Приказ Минстроя России от 05.05.2015 № 337/пр</t>
  </si>
  <si>
    <t>Винты самонарезающие с уплотнительной прокладкой 4,8х35 мм</t>
  </si>
  <si>
    <t>101-2182</t>
  </si>
  <si>
    <t>ТССЦ Чувашская республика (редакция 2014), 101-2182, Приказ Минстроя России от 05.05.2015 № 337/пр</t>
  </si>
  <si>
    <t>Шурупы с полукруглой головкой 5х50 мм</t>
  </si>
  <si>
    <t>101-2202</t>
  </si>
  <si>
    <t>ТССЦ Чувашская республика (редакция 2014), 101-2202, Приказ Минстроя России от 05.05.2015 № 337/пр</t>
  </si>
  <si>
    <t>Дюбели распорные полиэтиленовые 6х40 мм</t>
  </si>
  <si>
    <t>301-1528</t>
  </si>
  <si>
    <t>ТССЦ Чувашская республика (редакция 2014), 301-1528, Приказ Минстроя России от 05.05.2015 № 337/пр</t>
  </si>
  <si>
    <t>Гарнитура туалетная: вешалки трехрожковые стальные с гальванопокрытием 285х80х25 мм</t>
  </si>
  <si>
    <t>330901</t>
  </si>
  <si>
    <t>ТСЭМ Чувашская республика (редакция 2014), 330901, Приказ Минстроя России от 05.05.2015 № 337/пр</t>
  </si>
  <si>
    <t>Ножницы электрические</t>
  </si>
  <si>
    <t>331451</t>
  </si>
  <si>
    <t>ТСЭМ Чувашская республика (редакция 2014), 331451, Приказ Минстроя России от 05.05.2015 № 337/пр</t>
  </si>
  <si>
    <t>Перфораторы электрические</t>
  </si>
  <si>
    <t>101-2387</t>
  </si>
  <si>
    <t>ТССЦ Чувашская республика (редакция 2014), 101-2387, Приказ Минстроя России от 05.05.2015 № 337/пр</t>
  </si>
  <si>
    <t>Герметик строительный «RDPRO», 300 мл</t>
  </si>
  <si>
    <t>101-2430</t>
  </si>
  <si>
    <t>ТССЦ Чувашская республика (редакция 2014), 101-2430, Приказ Минстроя России от 05.05.2015 № 337/пр</t>
  </si>
  <si>
    <t>Грунтовка «Тифенгрунд», КНАУФ</t>
  </si>
  <si>
    <t>101-2435</t>
  </si>
  <si>
    <t>ТССЦ Чувашская республика (редакция 2014), 101-2435, Приказ Минстроя России от 05.05.2015 № 337/пр</t>
  </si>
  <si>
    <t>Клей «Перлфикс», КНАУФ</t>
  </si>
  <si>
    <t>101-2437</t>
  </si>
  <si>
    <t>ТССЦ Чувашская республика (редакция 2014), 101-2437, Приказ Минстроя России от 05.05.2015 № 337/пр</t>
  </si>
  <si>
    <t>Шпаклевка «Унифлот», КНАУФ</t>
  </si>
  <si>
    <t>101-2438</t>
  </si>
  <si>
    <t>ТССЦ Чувашская республика (редакция 2014), 101-2438, Приказ Минстроя России от 05.05.2015 № 337/пр</t>
  </si>
  <si>
    <t>Шпаклевка «Фугенфюллер», КНАУФ</t>
  </si>
  <si>
    <t>101-2474</t>
  </si>
  <si>
    <t>ТССЦ Чувашская республика (редакция 2014), 101-2474, Приказ Минстроя России от 05.05.2015 № 337/пр</t>
  </si>
  <si>
    <t>Лента бумажная для повышения трещиностойкости стыков ГКЛ и ГВЛ</t>
  </si>
  <si>
    <t>101-2480</t>
  </si>
  <si>
    <t>ТССЦ Чувашская республика (редакция 2014), 101-2480, Приказ Минстроя России от 05.05.2015 № 337/пр</t>
  </si>
  <si>
    <t>Лента разделительная для сопряжения потолка из ЛГК со стеной</t>
  </si>
  <si>
    <t>101-2486</t>
  </si>
  <si>
    <t>ТССЦ Чувашская республика (редакция 2014), 101-2486, Приказ Минстроя России от 05.05.2015 № 337/пр</t>
  </si>
  <si>
    <t>Лента эластичная самоклеящаяся для профилей направляющих «Дихтунгсбанд» 70/30000 мм</t>
  </si>
  <si>
    <t>101-2509</t>
  </si>
  <si>
    <t>ТССЦ Чувашская республика (редакция 2014), 101-2509, Приказ Минстроя России от 05.05.2015 № 337/пр</t>
  </si>
  <si>
    <t>Листы гипсокартонные ГКЛ 12,5 мм</t>
  </si>
  <si>
    <t>101-2583</t>
  </si>
  <si>
    <t>ТССЦ Чувашская республика (редакция 2014), 101-2583, Приказ Минстроя России от 05.05.2015 № 337/пр</t>
  </si>
  <si>
    <t>Шуруп самонарезающий (TN) 3,5/25 мм</t>
  </si>
  <si>
    <t>101-2590</t>
  </si>
  <si>
    <t>ТССЦ Чувашская республика (редакция 2014), 101-2590, Приказ Минстроя России от 05.05.2015 № 337/пр</t>
  </si>
  <si>
    <t>Дюбель с шурупом 6/35 мм</t>
  </si>
  <si>
    <t>201-0793</t>
  </si>
  <si>
    <t>ТССЦ Чувашская республика (редакция 2014), 201-0793, Приказ Минстроя России от 05.05.2015 № 337/пр</t>
  </si>
  <si>
    <t>Профиль направляющий ПН-4 75/40/0,6</t>
  </si>
  <si>
    <t>201-0807</t>
  </si>
  <si>
    <t>ТССЦ Чувашская республика (редакция 2014), 201-0807, Приказ Минстроя России от 05.05.2015 № 337/пр</t>
  </si>
  <si>
    <t>Профиль стоечный ПС-4 75/50/0,6</t>
  </si>
  <si>
    <t>201-0811</t>
  </si>
  <si>
    <t>ТССЦ Чувашская республика (редакция 2014), 201-0811, Приказ Минстроя России от 05.05.2015 № 337/пр</t>
  </si>
  <si>
    <t>Профиль угловой ПУ 31/31 для защиты углов</t>
  </si>
  <si>
    <t>1-1016-21</t>
  </si>
  <si>
    <t>Рабочий строитель среднего разряда 1,6</t>
  </si>
  <si>
    <t>402-0070</t>
  </si>
  <si>
    <t>ТССЦ Чувашская республика (редакция 2014), 402-0070, Приказ Минстроя России от 05.05.2015 № 337/пр</t>
  </si>
  <si>
    <t>Смесь сухая для заделки швов (фуга) АТЛАС растворная для ручной работы</t>
  </si>
  <si>
    <t>1-1041-21</t>
  </si>
  <si>
    <t>Рабочий строитель среднего разряда 4,1</t>
  </si>
  <si>
    <t>101-1596</t>
  </si>
  <si>
    <t>ТССЦ Чувашская республика (редакция 2014), 101-1596, Приказ Минстроя России от 05.05.2015 № 337/пр</t>
  </si>
  <si>
    <t>Шкурка шлифовальная двухслойная с зернистостью 40-25</t>
  </si>
  <si>
    <t>101-1712</t>
  </si>
  <si>
    <t>ТССЦ Чувашская республика (редакция 2014), 101-1712, Приказ Минстроя России от 05.05.2015 № 337/пр</t>
  </si>
  <si>
    <t>Шпатлевка клеевая</t>
  </si>
  <si>
    <t>101-1959</t>
  </si>
  <si>
    <t>ТССЦ Чувашская республика (редакция 2014), 101-1959, Приказ Минстроя России от 05.05.2015 № 337/пр</t>
  </si>
  <si>
    <t>Краска водоэмульсионная ВЭАК-1180</t>
  </si>
  <si>
    <t>1-1022-21</t>
  </si>
  <si>
    <t>Рабочий строитель среднего разряда 2,2</t>
  </si>
  <si>
    <t>111301</t>
  </si>
  <si>
    <t>ТСЭМ Чувашская республика (редакция 2014), 111301, Приказ Минстроя России от 05.05.2015 № 337/пр</t>
  </si>
  <si>
    <t>Вибратор поверхностный</t>
  </si>
  <si>
    <t>402-0005</t>
  </si>
  <si>
    <t>ТССЦ Чувашская республика (редакция 2014), 402-0005, Приказ Минстроя России от 05.05.2015 № 337/пр</t>
  </si>
  <si>
    <t>Раствор готовый кладочный цементный марки 150</t>
  </si>
  <si>
    <t>1-1037-21</t>
  </si>
  <si>
    <t>Рабочий строитель среднего разряда 3,7</t>
  </si>
  <si>
    <t>402-0086</t>
  </si>
  <si>
    <t>ТССЦ Чувашская республика (редакция 2014), 402-0086, Приказ Минстроя России от 05.05.2015 № 337/пр</t>
  </si>
  <si>
    <t>Раствор готовый отделочный тяжелый, известковый 1:2,5</t>
  </si>
  <si>
    <t>301-1514</t>
  </si>
  <si>
    <t>ТССЦ Чувашская республика (редакция 2014), 301-1514, Приказ Минстроя России от 05.05.2015 № 337/пр</t>
  </si>
  <si>
    <t>Решетки жалюзийные неподвижные штампованные размером 150х490 мм</t>
  </si>
  <si>
    <t>101-0420</t>
  </si>
  <si>
    <t>ТССЦ Чувашская республика (редакция 2014), 101-0420, Приказ Минстроя России от 05.05.2015 № 337/пр</t>
  </si>
  <si>
    <t>Краски масляные и алкидные, готовые к применению белила литопонные МА-25</t>
  </si>
  <si>
    <t>101-1667</t>
  </si>
  <si>
    <t>ТССЦ Чувашская республика (редакция 2014), 101-1667, Приказ Минстроя России от 05.05.2015 № 337/пр</t>
  </si>
  <si>
    <t>Шпатлевка масляно-клеевая</t>
  </si>
  <si>
    <t>101-1824</t>
  </si>
  <si>
    <t>ТССЦ Чувашская республика (редакция 2014), 101-1824, Приказ Минстроя России от 05.05.2015 № 337/пр</t>
  </si>
  <si>
    <t>Олифа для улучшенной окраски (10% натуральной, 90% комбинированной)</t>
  </si>
  <si>
    <t>409-0639</t>
  </si>
  <si>
    <t>ТССЦ Чувашская республика (редакция 2014), 409-0639, Приказ Минстроя России от 05.05.2015 № 337/пр</t>
  </si>
  <si>
    <t>Пемза шлаковая (щебень пористый из металлургического шлака), марка 600, фракция 5-10 мм</t>
  </si>
  <si>
    <t>1-1043-21</t>
  </si>
  <si>
    <t>Рабочий строитель среднего разряда 4,3</t>
  </si>
  <si>
    <t>101-1929</t>
  </si>
  <si>
    <t>ТССЦ Чувашская республика (редакция 2014), 101-1929, Приказ Минстроя России от 05.05.2015 № 337/пр</t>
  </si>
  <si>
    <t>Болты анкерные</t>
  </si>
  <si>
    <t>101-3661</t>
  </si>
  <si>
    <t>ТССЦ Чувашская республика (редакция 2014), 101-3661, Приказ Минстроя России от 05.05.2015 № 337/пр</t>
  </si>
  <si>
    <t>Пена монтажная противопожарная полиуретановая NULLIFIRE (0,88 л)</t>
  </si>
  <si>
    <t>331531</t>
  </si>
  <si>
    <t>ТСЭМ Чувашская республика (редакция 2014), 331531, Приказ Минстроя России от 05.05.2015 № 337/пр</t>
  </si>
  <si>
    <t>Пила дисковая электрическая</t>
  </si>
  <si>
    <t>101-2434</t>
  </si>
  <si>
    <t>ТССЦ Чувашская республика (редакция 2014), 101-2434, Приказ Минстроя России от 05.05.2015 № 337/пр</t>
  </si>
  <si>
    <t>Клей ПВА</t>
  </si>
  <si>
    <t>101-3464</t>
  </si>
  <si>
    <t>ТССЦ Чувашская республика (редакция 2014), 101-3464, Приказ Минстроя России от 05.05.2015 № 337/пр</t>
  </si>
  <si>
    <t>Грунтовка масляная ВАК-I-V</t>
  </si>
  <si>
    <t>030403</t>
  </si>
  <si>
    <t>ТСЭМ Чувашская республика (редакция 2014), 030403, Приказ Минстроя России от 05.05.2015 № 337/пр</t>
  </si>
  <si>
    <t>Лебедки электрические тяговым усилием 19,62 кН (2 т)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</si>
  <si>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</si>
  <si>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"СОГЛАСОВАНО"</t>
  </si>
  <si>
    <t>"УТВЕРЖДАЮ"</t>
  </si>
  <si>
    <t>"_____"________________ 2021 г.</t>
  </si>
  <si>
    <t>(наименование стройки)</t>
  </si>
  <si>
    <t xml:space="preserve">  на</t>
  </si>
  <si>
    <t>(наименование работ и затрат, наименование объекта)</t>
  </si>
  <si>
    <t>текущая цена</t>
  </si>
  <si>
    <t>Сметная стоимость</t>
  </si>
  <si>
    <t>тыс.руб</t>
  </si>
  <si>
    <t>Нормативная трудоемкость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</si>
  <si>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</si>
  <si>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</si>
  <si>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</si>
  <si>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</si>
  <si>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Единица изме-рения</t>
  </si>
  <si>
    <t>Кол-во единиц</t>
  </si>
  <si>
    <t>Цена на ед. изм. руб.</t>
  </si>
  <si>
    <t>попра-вочные коэффиц.</t>
  </si>
  <si>
    <t>Стоимость в ценах 2001г.</t>
  </si>
  <si>
    <t>Пункт коэффиц. пересчета</t>
  </si>
  <si>
    <t>Коэфф. пересчета</t>
  </si>
  <si>
    <t>Стоимость в текущих ценах</t>
  </si>
  <si>
    <t>ЗТР всего чел.-час</t>
  </si>
  <si>
    <t>Составлена в ценах ТСН Чувашской республики (редакция 2014 г) сентябрь 2020 года</t>
  </si>
  <si>
    <t>Зарплата</t>
  </si>
  <si>
    <t>в т.ч. зарплата машинистов</t>
  </si>
  <si>
    <t>НР от ФОТ</t>
  </si>
  <si>
    <t>%</t>
  </si>
  <si>
    <t>СП от ФОТ</t>
  </si>
  <si>
    <t>Затраты труда</t>
  </si>
  <si>
    <t>чел-ч</t>
  </si>
  <si>
    <t>Материальные ресурсы</t>
  </si>
  <si>
    <t>Составил</t>
  </si>
  <si>
    <t>Должность</t>
  </si>
  <si>
    <t>Подпись</t>
  </si>
  <si>
    <t>Ф.И.О.</t>
  </si>
  <si>
    <t>М.П.</t>
  </si>
  <si>
    <t>Проверил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</si>
  <si>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</si>
  <si>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</si>
  <si>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</si>
  <si>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</si>
  <si>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</si>
  <si>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</si>
  <si>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</si>
  <si>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</si>
  <si>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</si>
  <si>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</si>
  <si>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</si>
  <si>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</si>
  <si>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</si>
  <si>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</si>
  <si>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</si>
  <si>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</si>
  <si>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</si>
  <si>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</si>
  <si>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</si>
  <si>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</si>
  <si>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</si>
  <si>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</si>
  <si>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</si>
  <si>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</si>
  <si>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</si>
  <si>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</si>
  <si>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</si>
  <si>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Номер</t>
  </si>
  <si>
    <t>поз. по сме-те</t>
  </si>
  <si>
    <t>Составлен(а) в ценах 2001 г. с учетом коэффициентов пересчета к базисной стоимости СМР в текущий уровень цен базисно-индексным методом за ТСН Чувашской республики (редакция 2014 г) сентябрь 2020 года</t>
  </si>
  <si>
    <t>Сдал</t>
  </si>
  <si>
    <t>Принял</t>
  </si>
  <si>
    <t>Итого по локальной смете:</t>
  </si>
  <si>
    <t xml:space="preserve"> Санузел для МГН, аптечный склад</t>
  </si>
  <si>
    <t>Помещение №44</t>
  </si>
  <si>
    <t>Помещения №38, №39  Демонтажные работы</t>
  </si>
  <si>
    <t xml:space="preserve">  Итого по разделу  помещение №44</t>
  </si>
  <si>
    <t>Текущий ремонт 1 этажа терапевтического корпуса (помещения №38,№39 и №44) по адресу: г.Чебоксары, ул.Пирогова, д.6</t>
  </si>
  <si>
    <t>Текущий ремонт 1 этажа терапевтического корпуса БУ "Республиканский кожно-венерологический диспансер" Минздрава Чувашии                                                                                                                                                                                                        по адресу: г.Чебоксары, ул.Пирогова, д.6</t>
  </si>
</sst>
</file>

<file path=xl/styles.xml><?xml version="1.0" encoding="utf-8"?>
<styleSheet xmlns="http://schemas.openxmlformats.org/spreadsheetml/2006/main">
  <numFmts count="2">
    <numFmt numFmtId="164" formatCode="#,##0.00;[Red]\-\ #,##0.00"/>
    <numFmt numFmtId="165" formatCode="#,##0;[Red]\-\ #,##0"/>
  </numFmts>
  <fonts count="23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b/>
      <sz val="10"/>
      <color indexed="14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u/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i/>
      <sz val="11"/>
      <color rgb="FF008000"/>
      <name val="Arial"/>
      <family val="2"/>
      <charset val="204"/>
    </font>
    <font>
      <i/>
      <sz val="11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0"/>
      <color indexed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4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164" fontId="10" fillId="0" borderId="0" xfId="0" applyNumberFormat="1" applyFont="1" applyAlignment="1">
      <alignment horizontal="right"/>
    </xf>
    <xf numFmtId="165" fontId="0" fillId="0" borderId="0" xfId="0" applyNumberFormat="1"/>
    <xf numFmtId="164" fontId="18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165" fontId="11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0" fillId="0" borderId="0" xfId="0" applyNumberFormat="1"/>
    <xf numFmtId="0" fontId="9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left" wrapText="1"/>
    </xf>
    <xf numFmtId="0" fontId="10" fillId="0" borderId="2" xfId="0" applyFont="1" applyBorder="1" applyAlignment="1">
      <alignment horizontal="right"/>
    </xf>
    <xf numFmtId="0" fontId="19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right" wrapText="1"/>
    </xf>
    <xf numFmtId="0" fontId="19" fillId="0" borderId="2" xfId="0" applyFont="1" applyBorder="1" applyAlignment="1">
      <alignment horizontal="right"/>
    </xf>
    <xf numFmtId="164" fontId="19" fillId="0" borderId="2" xfId="0" applyNumberFormat="1" applyFont="1" applyBorder="1" applyAlignment="1">
      <alignment horizontal="right"/>
    </xf>
    <xf numFmtId="0" fontId="19" fillId="0" borderId="2" xfId="0" quotePrefix="1" applyFont="1" applyBorder="1" applyAlignment="1">
      <alignment horizontal="right" wrapText="1"/>
    </xf>
    <xf numFmtId="165" fontId="19" fillId="0" borderId="2" xfId="0" applyNumberFormat="1" applyFont="1" applyBorder="1" applyAlignment="1">
      <alignment horizontal="right"/>
    </xf>
    <xf numFmtId="0" fontId="20" fillId="0" borderId="0" xfId="0" applyFont="1" applyAlignment="1">
      <alignment horizontal="left" wrapText="1"/>
    </xf>
    <xf numFmtId="0" fontId="11" fillId="0" borderId="2" xfId="0" applyFont="1" applyFill="1" applyBorder="1"/>
    <xf numFmtId="0" fontId="11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11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21" fillId="0" borderId="0" xfId="0" applyFont="1" applyFill="1"/>
    <xf numFmtId="0" fontId="21" fillId="0" borderId="2" xfId="0" applyFont="1" applyFill="1" applyBorder="1"/>
    <xf numFmtId="0" fontId="10" fillId="0" borderId="0" xfId="0" applyFont="1" applyFill="1"/>
    <xf numFmtId="0" fontId="21" fillId="0" borderId="0" xfId="0" applyFont="1" applyFill="1" applyAlignment="1">
      <alignment horizontal="right"/>
    </xf>
    <xf numFmtId="0" fontId="22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/>
    <xf numFmtId="0" fontId="15" fillId="0" borderId="0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left" wrapText="1"/>
    </xf>
    <xf numFmtId="165" fontId="14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left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top"/>
    </xf>
    <xf numFmtId="0" fontId="11" fillId="0" borderId="3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0" fillId="0" borderId="0" xfId="0" applyAlignment="1"/>
    <xf numFmtId="0" fontId="11" fillId="0" borderId="3" xfId="0" quotePrefix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0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9"/>
  <sheetViews>
    <sheetView tabSelected="1" zoomScale="102" zoomScaleNormal="102" workbookViewId="0">
      <selection activeCell="J14" sqref="J14"/>
    </sheetView>
  </sheetViews>
  <sheetFormatPr defaultRowHeight="13.2"/>
  <cols>
    <col min="1" max="1" width="5.6640625" customWidth="1"/>
    <col min="2" max="2" width="11.6640625" customWidth="1"/>
    <col min="3" max="3" width="40.6640625" customWidth="1"/>
    <col min="4" max="5" width="10.6640625" customWidth="1"/>
    <col min="6" max="8" width="12.6640625" customWidth="1"/>
    <col min="9" max="9" width="17.6640625" customWidth="1"/>
    <col min="10" max="10" width="8.6640625" customWidth="1"/>
    <col min="11" max="11" width="12.6640625" customWidth="1"/>
    <col min="12" max="12" width="8.6640625" customWidth="1"/>
    <col min="15" max="29" width="0" hidden="1" customWidth="1"/>
    <col min="30" max="30" width="147.6640625" hidden="1" customWidth="1"/>
    <col min="31" max="31" width="160.6640625" hidden="1" customWidth="1"/>
    <col min="32" max="32" width="144.6640625" hidden="1" customWidth="1"/>
    <col min="33" max="33" width="91.6640625" hidden="1" customWidth="1"/>
    <col min="34" max="38" width="0" hidden="1" customWidth="1"/>
    <col min="39" max="39" width="76.6640625" hidden="1" customWidth="1"/>
  </cols>
  <sheetData>
    <row r="1" spans="1:30" ht="13.8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</row>
    <row r="2" spans="1:30" ht="16.8">
      <c r="A2" s="12"/>
      <c r="B2" s="82" t="s">
        <v>938</v>
      </c>
      <c r="C2" s="82"/>
      <c r="D2" s="82"/>
      <c r="E2" s="82"/>
      <c r="F2" s="11"/>
      <c r="G2" s="11"/>
      <c r="H2" s="82" t="s">
        <v>939</v>
      </c>
      <c r="I2" s="82"/>
      <c r="J2" s="82"/>
      <c r="K2" s="82"/>
      <c r="L2" s="82"/>
    </row>
    <row r="3" spans="1:30" ht="13.8">
      <c r="A3" s="11"/>
      <c r="B3" s="83"/>
      <c r="C3" s="83"/>
      <c r="D3" s="83"/>
      <c r="E3" s="83"/>
      <c r="F3" s="78"/>
      <c r="G3" s="78"/>
      <c r="H3" s="83"/>
      <c r="I3" s="83"/>
      <c r="J3" s="83"/>
      <c r="K3" s="83"/>
      <c r="L3" s="83"/>
    </row>
    <row r="4" spans="1:30" ht="13.8">
      <c r="A4" s="13"/>
      <c r="B4" s="13"/>
      <c r="C4" s="14"/>
      <c r="D4" s="14"/>
      <c r="E4" s="14"/>
      <c r="F4" s="11"/>
      <c r="G4" s="11"/>
      <c r="H4" s="77"/>
      <c r="I4" s="14"/>
      <c r="J4" s="14"/>
      <c r="K4" s="14"/>
      <c r="L4" s="15"/>
    </row>
    <row r="5" spans="1:30" ht="13.8">
      <c r="A5" s="15"/>
      <c r="B5" s="83" t="str">
        <f>CONCATENATE("______________________ ", IF(Source!AL12&lt;&gt;"", Source!AL12, ""))</f>
        <v xml:space="preserve">______________________ </v>
      </c>
      <c r="C5" s="83"/>
      <c r="D5" s="83"/>
      <c r="E5" s="83"/>
      <c r="F5" s="11"/>
      <c r="G5" s="11"/>
      <c r="H5" s="83"/>
      <c r="I5" s="83"/>
      <c r="J5" s="83"/>
      <c r="K5" s="83"/>
      <c r="L5" s="83"/>
    </row>
    <row r="6" spans="1:30" ht="13.8">
      <c r="A6" s="16"/>
      <c r="B6" s="79" t="s">
        <v>940</v>
      </c>
      <c r="C6" s="79"/>
      <c r="D6" s="79"/>
      <c r="E6" s="79"/>
      <c r="F6" s="11"/>
      <c r="G6" s="11"/>
      <c r="H6" s="79" t="s">
        <v>940</v>
      </c>
      <c r="I6" s="79"/>
      <c r="J6" s="79"/>
      <c r="K6" s="79"/>
      <c r="L6" s="79"/>
    </row>
    <row r="9" spans="1:30" ht="34.200000000000003" customHeight="1">
      <c r="A9" s="16"/>
      <c r="B9" s="80" t="s">
        <v>1014</v>
      </c>
      <c r="C9" s="80"/>
      <c r="D9" s="80"/>
      <c r="E9" s="80"/>
      <c r="F9" s="80"/>
      <c r="G9" s="80"/>
      <c r="H9" s="80"/>
      <c r="I9" s="80"/>
      <c r="J9" s="80"/>
      <c r="K9" s="80"/>
      <c r="L9" s="16"/>
    </row>
    <row r="10" spans="1:30" ht="13.8">
      <c r="A10" s="17"/>
      <c r="B10" s="81" t="s">
        <v>941</v>
      </c>
      <c r="C10" s="81"/>
      <c r="D10" s="81"/>
      <c r="E10" s="81"/>
      <c r="F10" s="81"/>
      <c r="G10" s="81"/>
      <c r="H10" s="81"/>
      <c r="I10" s="81"/>
      <c r="J10" s="81"/>
      <c r="K10" s="81"/>
      <c r="L10" s="16"/>
    </row>
    <row r="11" spans="1:30" ht="13.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30" ht="13.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30" ht="15.6">
      <c r="A13" s="18"/>
      <c r="B13" s="87" t="str">
        <f>CONCATENATE("ЛОКАЛЬНАЯ СМЕТА № ", Source!F20)</f>
        <v>ЛОКАЛЬНАЯ СМЕТА № 02-01-01</v>
      </c>
      <c r="C13" s="87"/>
      <c r="D13" s="87"/>
      <c r="E13" s="87"/>
      <c r="F13" s="87"/>
      <c r="G13" s="87"/>
      <c r="H13" s="87"/>
      <c r="I13" s="87"/>
      <c r="J13" s="87"/>
      <c r="K13" s="87"/>
      <c r="L13" s="18"/>
    </row>
    <row r="14" spans="1:30" ht="13.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30" ht="13.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30" ht="16.8" customHeight="1">
      <c r="A16" s="11" t="s">
        <v>942</v>
      </c>
      <c r="B16" s="88" t="s">
        <v>1013</v>
      </c>
      <c r="C16" s="88"/>
      <c r="D16" s="88"/>
      <c r="E16" s="88"/>
      <c r="F16" s="88"/>
      <c r="G16" s="88"/>
      <c r="H16" s="88"/>
      <c r="I16" s="88"/>
      <c r="J16" s="88"/>
      <c r="K16" s="88"/>
      <c r="L16" s="19"/>
      <c r="AD16" s="24" t="str">
        <f>Source!G12</f>
        <v xml:space="preserve"> Санузел для МГН, аптечный склад</v>
      </c>
    </row>
    <row r="17" spans="1:31" ht="13.8">
      <c r="A17" s="11"/>
      <c r="B17" s="89" t="s">
        <v>943</v>
      </c>
      <c r="C17" s="89"/>
      <c r="D17" s="89"/>
      <c r="E17" s="89"/>
      <c r="F17" s="89"/>
      <c r="G17" s="89"/>
      <c r="H17" s="89"/>
      <c r="I17" s="89"/>
      <c r="J17" s="89"/>
      <c r="K17" s="89"/>
      <c r="L17" s="16"/>
    </row>
    <row r="18" spans="1:31" ht="13.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31" ht="13.8">
      <c r="A19" s="90" t="str">
        <f>CONCATENATE("Основание: ", Source!J20)</f>
        <v xml:space="preserve">Основание: 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AE19" s="25" t="str">
        <f>CONCATENATE("Основание: ", Source!J20)</f>
        <v xml:space="preserve">Основание: </v>
      </c>
    </row>
    <row r="20" spans="1:31" ht="13.8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31" ht="13.8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31" ht="13.8">
      <c r="A22" s="11"/>
      <c r="B22" s="11"/>
      <c r="C22" s="11"/>
      <c r="D22" s="11"/>
      <c r="E22" s="20"/>
      <c r="F22" s="20"/>
      <c r="G22" s="91"/>
      <c r="H22" s="91"/>
      <c r="I22" s="91" t="s">
        <v>944</v>
      </c>
      <c r="J22" s="91"/>
      <c r="K22" s="11"/>
      <c r="L22" s="11"/>
    </row>
    <row r="23" spans="1:31" ht="13.8">
      <c r="A23" s="11"/>
      <c r="B23" s="11"/>
      <c r="C23" s="84" t="s">
        <v>945</v>
      </c>
      <c r="D23" s="84"/>
      <c r="E23" s="84"/>
      <c r="F23" s="84"/>
      <c r="G23" s="85"/>
      <c r="H23" s="85"/>
      <c r="I23" s="85">
        <f>(Source!F256/1000)</f>
        <v>377.47800000000001</v>
      </c>
      <c r="J23" s="85"/>
      <c r="K23" s="86" t="s">
        <v>946</v>
      </c>
      <c r="L23" s="86"/>
    </row>
    <row r="24" spans="1:31" ht="13.8">
      <c r="A24" s="11"/>
      <c r="B24" s="11"/>
      <c r="C24" s="84" t="s">
        <v>947</v>
      </c>
      <c r="D24" s="84"/>
      <c r="E24" s="84"/>
      <c r="F24" s="84"/>
      <c r="G24" s="85"/>
      <c r="H24" s="85"/>
      <c r="I24" s="85">
        <f>(Source!F242+Source!F243)</f>
        <v>478.56175504999982</v>
      </c>
      <c r="J24" s="85"/>
      <c r="K24" s="86" t="s">
        <v>510</v>
      </c>
      <c r="L24" s="86"/>
    </row>
    <row r="25" spans="1:31" ht="13.8">
      <c r="A25" s="11"/>
      <c r="B25" s="11"/>
      <c r="C25" s="84" t="s">
        <v>948</v>
      </c>
      <c r="D25" s="84"/>
      <c r="E25" s="84"/>
      <c r="F25" s="84"/>
      <c r="G25" s="85"/>
      <c r="H25" s="85"/>
      <c r="I25" s="85">
        <f>(Source!F235+ Source!F234)/1000</f>
        <v>83.444000000000003</v>
      </c>
      <c r="J25" s="85"/>
      <c r="K25" s="86" t="s">
        <v>946</v>
      </c>
      <c r="L25" s="86"/>
    </row>
    <row r="26" spans="1:31" ht="13.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31" ht="13.8">
      <c r="A27" s="94" t="s">
        <v>961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1:31" ht="55.2">
      <c r="A28" s="21" t="s">
        <v>949</v>
      </c>
      <c r="B28" s="21" t="s">
        <v>950</v>
      </c>
      <c r="C28" s="21" t="s">
        <v>951</v>
      </c>
      <c r="D28" s="21" t="s">
        <v>952</v>
      </c>
      <c r="E28" s="21" t="s">
        <v>953</v>
      </c>
      <c r="F28" s="21" t="s">
        <v>954</v>
      </c>
      <c r="G28" s="21" t="s">
        <v>955</v>
      </c>
      <c r="H28" s="21" t="s">
        <v>956</v>
      </c>
      <c r="I28" s="21" t="s">
        <v>957</v>
      </c>
      <c r="J28" s="21" t="s">
        <v>958</v>
      </c>
      <c r="K28" s="21" t="s">
        <v>959</v>
      </c>
      <c r="L28" s="21" t="s">
        <v>960</v>
      </c>
    </row>
    <row r="29" spans="1:31" ht="13.8">
      <c r="A29" s="22">
        <v>1</v>
      </c>
      <c r="B29" s="22">
        <v>2</v>
      </c>
      <c r="C29" s="22">
        <v>3</v>
      </c>
      <c r="D29" s="22">
        <v>4</v>
      </c>
      <c r="E29" s="22">
        <v>5</v>
      </c>
      <c r="F29" s="22">
        <v>6</v>
      </c>
      <c r="G29" s="22">
        <v>7</v>
      </c>
      <c r="H29" s="22">
        <v>8</v>
      </c>
      <c r="I29" s="22">
        <v>9</v>
      </c>
      <c r="J29" s="22">
        <v>10</v>
      </c>
      <c r="K29" s="22">
        <v>11</v>
      </c>
      <c r="L29" s="23">
        <v>12</v>
      </c>
    </row>
    <row r="31" spans="1:31" ht="16.8">
      <c r="A31" s="95" t="s">
        <v>1011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AE31" s="26" t="str">
        <f>CONCATENATE("Раздел: ", Source!G24)</f>
        <v>Раздел: Демонтажные работы</v>
      </c>
    </row>
    <row r="32" spans="1:31" ht="27.6">
      <c r="A32" s="27" t="str">
        <f>Source!E28</f>
        <v>1</v>
      </c>
      <c r="B32" s="28" t="str">
        <f>Source!F28</f>
        <v>46-04-001-4</v>
      </c>
      <c r="C32" s="25" t="str">
        <f>Source!G28</f>
        <v>Разборка кирпичных стен</v>
      </c>
      <c r="D32" s="30" t="str">
        <f>Source!H28</f>
        <v>1 м3</v>
      </c>
      <c r="E32" s="10">
        <f>Source!I28</f>
        <v>0.495</v>
      </c>
      <c r="F32" s="32">
        <f>IF(Source!AK28&lt;&gt; 0, Source!AK28,Source!AL28 + Source!AM28 + Source!AO28)</f>
        <v>140.4</v>
      </c>
      <c r="G32" s="31"/>
      <c r="H32" s="33"/>
      <c r="I32" s="31" t="str">
        <f>Source!BO28</f>
        <v>46-04-001-4</v>
      </c>
      <c r="J32" s="31"/>
      <c r="K32" s="33"/>
      <c r="L32" s="34"/>
      <c r="S32">
        <f>ROUND((Source!FX28/100)*((ROUND(Source!AF28*Source!I28, 0)+ROUND(Source!AE28*Source!I28, 0))), 0)</f>
        <v>27</v>
      </c>
      <c r="T32">
        <f>Source!X28</f>
        <v>560</v>
      </c>
      <c r="U32">
        <f>ROUND((Source!FY28/100)*((ROUND(Source!AF28*Source!I28, 0)+ROUND(Source!AE28*Source!I28, 0))), 0)</f>
        <v>21</v>
      </c>
      <c r="V32">
        <f>Source!Y28</f>
        <v>438</v>
      </c>
    </row>
    <row r="33" spans="1:26" ht="14.4">
      <c r="A33" s="27"/>
      <c r="B33" s="28"/>
      <c r="C33" s="25" t="s">
        <v>962</v>
      </c>
      <c r="D33" s="30"/>
      <c r="E33" s="10"/>
      <c r="F33" s="32">
        <f>Source!AO28</f>
        <v>68.23</v>
      </c>
      <c r="G33" s="31" t="str">
        <f>Source!DG28</f>
        <v/>
      </c>
      <c r="H33" s="33">
        <f>ROUND(Source!AF28*Source!I28, 0)</f>
        <v>34</v>
      </c>
      <c r="I33" s="31"/>
      <c r="J33" s="31">
        <f>IF(Source!BA28&lt;&gt; 0, Source!BA28, 1)</f>
        <v>20.88</v>
      </c>
      <c r="K33" s="33">
        <f>Source!S28</f>
        <v>705</v>
      </c>
      <c r="L33" s="34"/>
      <c r="R33">
        <f>H33</f>
        <v>34</v>
      </c>
    </row>
    <row r="34" spans="1:26" ht="14.4">
      <c r="A34" s="27"/>
      <c r="B34" s="28"/>
      <c r="C34" s="25" t="s">
        <v>125</v>
      </c>
      <c r="D34" s="30"/>
      <c r="E34" s="10"/>
      <c r="F34" s="32">
        <f>Source!AM28</f>
        <v>72.17</v>
      </c>
      <c r="G34" s="31" t="str">
        <f>Source!DE28</f>
        <v/>
      </c>
      <c r="H34" s="33">
        <f>ROUND(Source!AD28*Source!I28, 0)</f>
        <v>36</v>
      </c>
      <c r="I34" s="31"/>
      <c r="J34" s="31">
        <f>IF(Source!BB28&lt;&gt; 0, Source!BB28, 1)</f>
        <v>9.61</v>
      </c>
      <c r="K34" s="33">
        <f>Source!Q28</f>
        <v>343</v>
      </c>
      <c r="L34" s="34"/>
    </row>
    <row r="35" spans="1:26" ht="14.4">
      <c r="A35" s="27"/>
      <c r="B35" s="28"/>
      <c r="C35" s="25" t="s">
        <v>963</v>
      </c>
      <c r="D35" s="30"/>
      <c r="E35" s="10"/>
      <c r="F35" s="32">
        <f>Source!AN28</f>
        <v>10.35</v>
      </c>
      <c r="G35" s="31" t="str">
        <f>Source!DF28</f>
        <v/>
      </c>
      <c r="H35" s="33">
        <f>ROUND(Source!AE28*Source!I28, 0)</f>
        <v>5</v>
      </c>
      <c r="I35" s="31"/>
      <c r="J35" s="31">
        <f>IF(Source!BS28&lt;&gt; 0, Source!BS28, 1)</f>
        <v>20.88</v>
      </c>
      <c r="K35" s="33">
        <f>Source!R28</f>
        <v>107</v>
      </c>
      <c r="L35" s="34"/>
      <c r="R35">
        <f>H35</f>
        <v>5</v>
      </c>
    </row>
    <row r="36" spans="1:26" ht="14.4">
      <c r="A36" s="27"/>
      <c r="B36" s="28"/>
      <c r="C36" s="25" t="s">
        <v>964</v>
      </c>
      <c r="D36" s="30" t="s">
        <v>965</v>
      </c>
      <c r="E36" s="10">
        <f>Source!BZ28</f>
        <v>110</v>
      </c>
      <c r="F36" s="92" t="str">
        <f>CONCATENATE(" )", Source!DL28, Source!FT28, "=", Source!FX28)</f>
        <v xml:space="preserve"> )*0,9*0,7=69,3</v>
      </c>
      <c r="G36" s="90"/>
      <c r="H36" s="33">
        <f>SUM(S32:S38)</f>
        <v>27</v>
      </c>
      <c r="I36" s="35"/>
      <c r="J36" s="25">
        <f>Source!AT28</f>
        <v>69</v>
      </c>
      <c r="K36" s="33">
        <f>SUM(T32:T38)</f>
        <v>560</v>
      </c>
      <c r="L36" s="34"/>
    </row>
    <row r="37" spans="1:26" ht="14.4">
      <c r="A37" s="27"/>
      <c r="B37" s="28"/>
      <c r="C37" s="25" t="s">
        <v>966</v>
      </c>
      <c r="D37" s="30" t="s">
        <v>965</v>
      </c>
      <c r="E37" s="10">
        <f>Source!CA28</f>
        <v>70</v>
      </c>
      <c r="F37" s="92" t="str">
        <f>CONCATENATE(" )", Source!DM28, Source!FU28, "=", Source!FY28)</f>
        <v xml:space="preserve"> )*0,85*0,9=53,55</v>
      </c>
      <c r="G37" s="90"/>
      <c r="H37" s="33">
        <f>SUM(U32:U38)</f>
        <v>21</v>
      </c>
      <c r="I37" s="35"/>
      <c r="J37" s="25">
        <f>Source!AU28</f>
        <v>54</v>
      </c>
      <c r="K37" s="33">
        <f>SUM(V32:V38)</f>
        <v>438</v>
      </c>
      <c r="L37" s="34"/>
    </row>
    <row r="38" spans="1:26" ht="14.4">
      <c r="A38" s="39"/>
      <c r="B38" s="40"/>
      <c r="C38" s="41" t="s">
        <v>967</v>
      </c>
      <c r="D38" s="42" t="s">
        <v>968</v>
      </c>
      <c r="E38" s="43">
        <f>Source!AQ28</f>
        <v>8.24</v>
      </c>
      <c r="F38" s="44"/>
      <c r="G38" s="45" t="str">
        <f>Source!DI28</f>
        <v/>
      </c>
      <c r="H38" s="46"/>
      <c r="I38" s="45"/>
      <c r="J38" s="45"/>
      <c r="K38" s="46"/>
      <c r="L38" s="47">
        <f>Source!U28</f>
        <v>4.0788000000000002</v>
      </c>
    </row>
    <row r="39" spans="1:26" ht="13.8">
      <c r="G39" s="93">
        <f>ROUND(Source!AC28*Source!I28, 0)+ROUND(Source!AF28*Source!I28, 0)+ROUND(Source!AD28*Source!I28, 0)+SUM(H36:H37)</f>
        <v>118</v>
      </c>
      <c r="H39" s="93"/>
      <c r="J39" s="93">
        <f>Source!O28+SUM(K36:K37)</f>
        <v>2046</v>
      </c>
      <c r="K39" s="93"/>
      <c r="L39" s="38">
        <f>Source!U28</f>
        <v>4.0788000000000002</v>
      </c>
      <c r="O39" s="37">
        <f>G39</f>
        <v>118</v>
      </c>
      <c r="P39" s="37">
        <f>J39</f>
        <v>2046</v>
      </c>
      <c r="Q39" s="48">
        <f>L39</f>
        <v>4.0788000000000002</v>
      </c>
      <c r="W39">
        <f>IF(Source!BI28&lt;=1,G39, 0)</f>
        <v>118</v>
      </c>
      <c r="X39">
        <f>IF(Source!BI28=2,G39, 0)</f>
        <v>0</v>
      </c>
      <c r="Y39">
        <f>IF(Source!BI28=3,G39, 0)</f>
        <v>0</v>
      </c>
      <c r="Z39">
        <f>IF(Source!BI28=4,G39, 0)</f>
        <v>0</v>
      </c>
    </row>
    <row r="40" spans="1:26" ht="28.2">
      <c r="A40" s="27" t="str">
        <f>Source!E29</f>
        <v>2</v>
      </c>
      <c r="B40" s="28" t="str">
        <f>Source!F29</f>
        <v>46-03-007-3</v>
      </c>
      <c r="C40" s="25" t="str">
        <f>Source!G29</f>
        <v>Пробивка проемов в конструкциях из кирпича</v>
      </c>
      <c r="D40" s="30" t="str">
        <f>Source!H29</f>
        <v>1 м3</v>
      </c>
      <c r="E40" s="10">
        <f>Source!I29</f>
        <v>0.1</v>
      </c>
      <c r="F40" s="32">
        <f>IF(Source!AK29&lt;&gt; 0, Source!AK29,Source!AL29 + Source!AM29 + Source!AO29)</f>
        <v>262.48</v>
      </c>
      <c r="G40" s="31"/>
      <c r="H40" s="33"/>
      <c r="I40" s="31" t="str">
        <f>Source!BO29</f>
        <v>46-03-007-3</v>
      </c>
      <c r="J40" s="31"/>
      <c r="K40" s="33"/>
      <c r="L40" s="34"/>
      <c r="S40">
        <f>ROUND((Source!FX29/100)*((ROUND(Source!AF29*Source!I29, 0)+ROUND(Source!AE29*Source!I29, 0))), 0)</f>
        <v>8</v>
      </c>
      <c r="T40">
        <f>Source!X29</f>
        <v>181</v>
      </c>
      <c r="U40">
        <f>ROUND((Source!FY29/100)*((ROUND(Source!AF29*Source!I29, 0)+ROUND(Source!AE29*Source!I29, 0))), 0)</f>
        <v>6</v>
      </c>
      <c r="V40">
        <f>Source!Y29</f>
        <v>142</v>
      </c>
    </row>
    <row r="41" spans="1:26" ht="14.4">
      <c r="A41" s="27"/>
      <c r="B41" s="28"/>
      <c r="C41" s="25" t="s">
        <v>962</v>
      </c>
      <c r="D41" s="30"/>
      <c r="E41" s="10"/>
      <c r="F41" s="32">
        <f>Source!AO29</f>
        <v>103.07</v>
      </c>
      <c r="G41" s="31" t="str">
        <f>Source!DG29</f>
        <v/>
      </c>
      <c r="H41" s="33">
        <f>ROUND(Source!AF29*Source!I29, 0)</f>
        <v>10</v>
      </c>
      <c r="I41" s="31"/>
      <c r="J41" s="31">
        <f>IF(Source!BA29&lt;&gt; 0, Source!BA29, 1)</f>
        <v>20.88</v>
      </c>
      <c r="K41" s="33">
        <f>Source!S29</f>
        <v>215</v>
      </c>
      <c r="L41" s="34"/>
      <c r="R41">
        <f>H41</f>
        <v>10</v>
      </c>
    </row>
    <row r="42" spans="1:26" ht="14.4">
      <c r="A42" s="27"/>
      <c r="B42" s="28"/>
      <c r="C42" s="25" t="s">
        <v>125</v>
      </c>
      <c r="D42" s="30"/>
      <c r="E42" s="10"/>
      <c r="F42" s="32">
        <f>Source!AM29</f>
        <v>159.41</v>
      </c>
      <c r="G42" s="31" t="str">
        <f>Source!DE29</f>
        <v/>
      </c>
      <c r="H42" s="33">
        <f>ROUND(Source!AD29*Source!I29, 0)</f>
        <v>16</v>
      </c>
      <c r="I42" s="31"/>
      <c r="J42" s="31">
        <f>IF(Source!BB29&lt;&gt; 0, Source!BB29, 1)</f>
        <v>9.6</v>
      </c>
      <c r="K42" s="33">
        <f>Source!Q29</f>
        <v>153</v>
      </c>
      <c r="L42" s="34"/>
    </row>
    <row r="43" spans="1:26" ht="14.4">
      <c r="A43" s="27"/>
      <c r="B43" s="28"/>
      <c r="C43" s="25" t="s">
        <v>963</v>
      </c>
      <c r="D43" s="30"/>
      <c r="E43" s="10"/>
      <c r="F43" s="32">
        <f>Source!AN29</f>
        <v>22.86</v>
      </c>
      <c r="G43" s="31" t="str">
        <f>Source!DF29</f>
        <v/>
      </c>
      <c r="H43" s="33">
        <f>ROUND(Source!AE29*Source!I29, 0)</f>
        <v>2</v>
      </c>
      <c r="I43" s="31"/>
      <c r="J43" s="31">
        <f>IF(Source!BS29&lt;&gt; 0, Source!BS29, 1)</f>
        <v>20.88</v>
      </c>
      <c r="K43" s="33">
        <f>Source!R29</f>
        <v>48</v>
      </c>
      <c r="L43" s="34"/>
      <c r="R43">
        <f>H43</f>
        <v>2</v>
      </c>
    </row>
    <row r="44" spans="1:26" ht="14.4">
      <c r="A44" s="27"/>
      <c r="B44" s="28"/>
      <c r="C44" s="25" t="s">
        <v>964</v>
      </c>
      <c r="D44" s="30" t="s">
        <v>965</v>
      </c>
      <c r="E44" s="10">
        <f>Source!BZ29</f>
        <v>110</v>
      </c>
      <c r="F44" s="92" t="str">
        <f>CONCATENATE(" )", Source!DL29, Source!FT29, "=", Source!FX29)</f>
        <v xml:space="preserve"> )*0,9*0,7=69,3</v>
      </c>
      <c r="G44" s="90"/>
      <c r="H44" s="33">
        <f>SUM(S40:S46)</f>
        <v>8</v>
      </c>
      <c r="I44" s="35"/>
      <c r="J44" s="25">
        <f>Source!AT29</f>
        <v>69</v>
      </c>
      <c r="K44" s="33">
        <f>SUM(T40:T46)</f>
        <v>181</v>
      </c>
      <c r="L44" s="34"/>
    </row>
    <row r="45" spans="1:26" ht="14.4">
      <c r="A45" s="27"/>
      <c r="B45" s="28"/>
      <c r="C45" s="25" t="s">
        <v>966</v>
      </c>
      <c r="D45" s="30" t="s">
        <v>965</v>
      </c>
      <c r="E45" s="10">
        <f>Source!CA29</f>
        <v>70</v>
      </c>
      <c r="F45" s="92" t="str">
        <f>CONCATENATE(" )", Source!DM29, Source!FU29, "=", Source!FY29)</f>
        <v xml:space="preserve"> )*0,85*0,9=53,55</v>
      </c>
      <c r="G45" s="90"/>
      <c r="H45" s="33">
        <f>SUM(U40:U46)</f>
        <v>6</v>
      </c>
      <c r="I45" s="35"/>
      <c r="J45" s="25">
        <f>Source!AU29</f>
        <v>54</v>
      </c>
      <c r="K45" s="33">
        <f>SUM(V40:V46)</f>
        <v>142</v>
      </c>
      <c r="L45" s="34"/>
    </row>
    <row r="46" spans="1:26" ht="14.4">
      <c r="A46" s="39"/>
      <c r="B46" s="40"/>
      <c r="C46" s="41" t="s">
        <v>967</v>
      </c>
      <c r="D46" s="42" t="s">
        <v>968</v>
      </c>
      <c r="E46" s="43">
        <f>Source!AQ29</f>
        <v>12.3</v>
      </c>
      <c r="F46" s="44"/>
      <c r="G46" s="45" t="str">
        <f>Source!DI29</f>
        <v/>
      </c>
      <c r="H46" s="46"/>
      <c r="I46" s="45"/>
      <c r="J46" s="45"/>
      <c r="K46" s="46"/>
      <c r="L46" s="47">
        <f>Source!U29</f>
        <v>1.2300000000000002</v>
      </c>
    </row>
    <row r="47" spans="1:26" ht="13.8">
      <c r="G47" s="93">
        <f>ROUND(Source!AC29*Source!I29, 0)+ROUND(Source!AF29*Source!I29, 0)+ROUND(Source!AD29*Source!I29, 0)+SUM(H44:H45)</f>
        <v>40</v>
      </c>
      <c r="H47" s="93"/>
      <c r="J47" s="93">
        <f>Source!O29+SUM(K44:K45)</f>
        <v>691</v>
      </c>
      <c r="K47" s="93"/>
      <c r="L47" s="38">
        <f>Source!U29</f>
        <v>1.2300000000000002</v>
      </c>
      <c r="O47" s="37">
        <f>G47</f>
        <v>40</v>
      </c>
      <c r="P47" s="37">
        <f>J47</f>
        <v>691</v>
      </c>
      <c r="Q47" s="48">
        <f>L47</f>
        <v>1.2300000000000002</v>
      </c>
      <c r="W47">
        <f>IF(Source!BI29&lt;=1,G47, 0)</f>
        <v>40</v>
      </c>
      <c r="X47">
        <f>IF(Source!BI29=2,G47, 0)</f>
        <v>0</v>
      </c>
      <c r="Y47">
        <f>IF(Source!BI29=3,G47, 0)</f>
        <v>0</v>
      </c>
      <c r="Z47">
        <f>IF(Source!BI29=4,G47, 0)</f>
        <v>0</v>
      </c>
    </row>
    <row r="48" spans="1:26" ht="86.4">
      <c r="A48" s="27" t="str">
        <f>Source!E30</f>
        <v>3</v>
      </c>
      <c r="B48" s="28" t="str">
        <f>Source!F30</f>
        <v>53-25-1</v>
      </c>
      <c r="C48" s="25" t="str">
        <f>Source!G30</f>
        <v>Устройство металлических перемычек в стенах существующих зданий</v>
      </c>
      <c r="D48" s="30" t="str">
        <f>Source!H30</f>
        <v>1 Т МЕТАЛЛОКОНСТРУКЦИЙ ПЕРЕМЫЧЕК</v>
      </c>
      <c r="E48" s="10">
        <f>Source!I30</f>
        <v>0.01</v>
      </c>
      <c r="F48" s="32">
        <f>IF(Source!AK30&lt;&gt; 0, Source!AK30,Source!AL30 + Source!AM30 + Source!AO30)</f>
        <v>10554.59</v>
      </c>
      <c r="G48" s="31"/>
      <c r="H48" s="33"/>
      <c r="I48" s="31" t="str">
        <f>Source!BO30</f>
        <v>53-25-1</v>
      </c>
      <c r="J48" s="31"/>
      <c r="K48" s="33"/>
      <c r="L48" s="34"/>
      <c r="S48">
        <f>ROUND((Source!FX30/100)*((ROUND(Source!AF30*Source!I30, 0)+ROUND(Source!AE30*Source!I30, 0))), 0)</f>
        <v>8</v>
      </c>
      <c r="T48">
        <f>Source!X30</f>
        <v>169</v>
      </c>
      <c r="U48">
        <f>ROUND((Source!FY30/100)*((ROUND(Source!AF30*Source!I30, 0)+ROUND(Source!AE30*Source!I30, 0))), 0)</f>
        <v>8</v>
      </c>
      <c r="V48">
        <f>Source!Y30</f>
        <v>177</v>
      </c>
    </row>
    <row r="49" spans="1:26" ht="14.4">
      <c r="A49" s="27"/>
      <c r="B49" s="28"/>
      <c r="C49" s="25" t="s">
        <v>962</v>
      </c>
      <c r="D49" s="30"/>
      <c r="E49" s="10"/>
      <c r="F49" s="32">
        <f>Source!AO30</f>
        <v>1338.65</v>
      </c>
      <c r="G49" s="31" t="str">
        <f>Source!DG30</f>
        <v/>
      </c>
      <c r="H49" s="33">
        <f>ROUND(Source!AF30*Source!I30, 0)</f>
        <v>13</v>
      </c>
      <c r="I49" s="31"/>
      <c r="J49" s="31">
        <f>IF(Source!BA30&lt;&gt; 0, Source!BA30, 1)</f>
        <v>20.88</v>
      </c>
      <c r="K49" s="33">
        <f>Source!S30</f>
        <v>280</v>
      </c>
      <c r="L49" s="34"/>
      <c r="R49">
        <f>H49</f>
        <v>13</v>
      </c>
    </row>
    <row r="50" spans="1:26" ht="14.4">
      <c r="A50" s="27"/>
      <c r="B50" s="28"/>
      <c r="C50" s="25" t="s">
        <v>125</v>
      </c>
      <c r="D50" s="30"/>
      <c r="E50" s="10"/>
      <c r="F50" s="32">
        <f>Source!AM30</f>
        <v>53.7</v>
      </c>
      <c r="G50" s="31" t="str">
        <f>Source!DE30</f>
        <v/>
      </c>
      <c r="H50" s="33">
        <f>ROUND(Source!AD30*Source!I30, 0)</f>
        <v>1</v>
      </c>
      <c r="I50" s="31"/>
      <c r="J50" s="31">
        <f>IF(Source!BB30&lt;&gt; 0, Source!BB30, 1)</f>
        <v>9.09</v>
      </c>
      <c r="K50" s="33">
        <f>Source!Q30</f>
        <v>5</v>
      </c>
      <c r="L50" s="34"/>
    </row>
    <row r="51" spans="1:26" ht="14.4">
      <c r="A51" s="27"/>
      <c r="B51" s="28"/>
      <c r="C51" s="25" t="s">
        <v>963</v>
      </c>
      <c r="D51" s="30"/>
      <c r="E51" s="10"/>
      <c r="F51" s="32">
        <f>Source!AN30</f>
        <v>4.2300000000000004</v>
      </c>
      <c r="G51" s="31" t="str">
        <f>Source!DF30</f>
        <v/>
      </c>
      <c r="H51" s="33">
        <f>ROUND(Source!AE30*Source!I30, 0)</f>
        <v>0</v>
      </c>
      <c r="I51" s="31"/>
      <c r="J51" s="31">
        <f>IF(Source!BS30&lt;&gt; 0, Source!BS30, 1)</f>
        <v>20.88</v>
      </c>
      <c r="K51" s="33">
        <f>Source!R30</f>
        <v>1</v>
      </c>
      <c r="L51" s="34"/>
      <c r="R51">
        <f>H51</f>
        <v>0</v>
      </c>
    </row>
    <row r="52" spans="1:26" ht="14.4">
      <c r="A52" s="27"/>
      <c r="B52" s="28"/>
      <c r="C52" s="25" t="s">
        <v>969</v>
      </c>
      <c r="D52" s="30"/>
      <c r="E52" s="10"/>
      <c r="F52" s="32">
        <f>Source!AL30</f>
        <v>9162.24</v>
      </c>
      <c r="G52" s="31" t="str">
        <f>Source!DD30</f>
        <v/>
      </c>
      <c r="H52" s="33">
        <f>ROUND(Source!AC30*Source!I30, 0)</f>
        <v>92</v>
      </c>
      <c r="I52" s="31"/>
      <c r="J52" s="31">
        <f>IF(Source!BC30&lt;&gt; 0, Source!BC30, 1)</f>
        <v>8.4700000000000006</v>
      </c>
      <c r="K52" s="33">
        <f>Source!P30</f>
        <v>776</v>
      </c>
      <c r="L52" s="34"/>
    </row>
    <row r="53" spans="1:26" ht="14.4">
      <c r="A53" s="27"/>
      <c r="B53" s="28"/>
      <c r="C53" s="25" t="s">
        <v>964</v>
      </c>
      <c r="D53" s="30" t="s">
        <v>965</v>
      </c>
      <c r="E53" s="10">
        <f>Source!BZ30</f>
        <v>86</v>
      </c>
      <c r="F53" s="92" t="str">
        <f>CONCATENATE(" )", Source!DL30, Source!FT30, "=", Source!FX30)</f>
        <v xml:space="preserve"> )*0,7=60,2</v>
      </c>
      <c r="G53" s="90"/>
      <c r="H53" s="33">
        <f>SUM(S48:S55)</f>
        <v>8</v>
      </c>
      <c r="I53" s="35"/>
      <c r="J53" s="25">
        <f>Source!AT30</f>
        <v>60</v>
      </c>
      <c r="K53" s="33">
        <f>SUM(T48:T55)</f>
        <v>169</v>
      </c>
      <c r="L53" s="34"/>
    </row>
    <row r="54" spans="1:26" ht="14.4">
      <c r="A54" s="27"/>
      <c r="B54" s="28"/>
      <c r="C54" s="25" t="s">
        <v>966</v>
      </c>
      <c r="D54" s="30" t="s">
        <v>965</v>
      </c>
      <c r="E54" s="10">
        <f>Source!CA30</f>
        <v>70</v>
      </c>
      <c r="F54" s="92" t="str">
        <f>CONCATENATE(" )", Source!DM30, Source!FU30, "=", Source!FY30)</f>
        <v xml:space="preserve"> )*0,9=63</v>
      </c>
      <c r="G54" s="90"/>
      <c r="H54" s="33">
        <f>SUM(U48:U55)</f>
        <v>8</v>
      </c>
      <c r="I54" s="35"/>
      <c r="J54" s="25">
        <f>Source!AU30</f>
        <v>63</v>
      </c>
      <c r="K54" s="33">
        <f>SUM(V48:V55)</f>
        <v>177</v>
      </c>
      <c r="L54" s="34"/>
    </row>
    <row r="55" spans="1:26" ht="14.4">
      <c r="A55" s="39"/>
      <c r="B55" s="40"/>
      <c r="C55" s="41" t="s">
        <v>967</v>
      </c>
      <c r="D55" s="42" t="s">
        <v>968</v>
      </c>
      <c r="E55" s="43">
        <f>Source!AQ30</f>
        <v>165.88</v>
      </c>
      <c r="F55" s="44"/>
      <c r="G55" s="45" t="str">
        <f>Source!DI30</f>
        <v/>
      </c>
      <c r="H55" s="46"/>
      <c r="I55" s="45"/>
      <c r="J55" s="45"/>
      <c r="K55" s="46"/>
      <c r="L55" s="47">
        <f>Source!U30</f>
        <v>1.6588000000000001</v>
      </c>
    </row>
    <row r="56" spans="1:26" ht="13.8">
      <c r="G56" s="93">
        <f>ROUND(Source!AC30*Source!I30, 0)+ROUND(Source!AF30*Source!I30, 0)+ROUND(Source!AD30*Source!I30, 0)+SUM(H53:H54)</f>
        <v>122</v>
      </c>
      <c r="H56" s="93"/>
      <c r="J56" s="93">
        <f>Source!O30+SUM(K53:K54)</f>
        <v>1407</v>
      </c>
      <c r="K56" s="93"/>
      <c r="L56" s="38">
        <f>Source!U30</f>
        <v>1.6588000000000001</v>
      </c>
      <c r="O56" s="37">
        <f>G56</f>
        <v>122</v>
      </c>
      <c r="P56" s="37">
        <f>J56</f>
        <v>1407</v>
      </c>
      <c r="Q56" s="48">
        <f>L56</f>
        <v>1.6588000000000001</v>
      </c>
      <c r="W56">
        <f>IF(Source!BI30&lt;=1,G56, 0)</f>
        <v>122</v>
      </c>
      <c r="X56">
        <f>IF(Source!BI30=2,G56, 0)</f>
        <v>0</v>
      </c>
      <c r="Y56">
        <f>IF(Source!BI30=3,G56, 0)</f>
        <v>0</v>
      </c>
      <c r="Z56">
        <f>IF(Source!BI30=4,G56, 0)</f>
        <v>0</v>
      </c>
    </row>
    <row r="57" spans="1:26" ht="72">
      <c r="A57" s="27" t="str">
        <f>Source!E31</f>
        <v>4</v>
      </c>
      <c r="B57" s="28" t="str">
        <f>Source!F31</f>
        <v>63-7-5</v>
      </c>
      <c r="C57" s="25" t="str">
        <f>Source!G31</f>
        <v>Разборка облицовки стен из керамических глазурованных плиток</v>
      </c>
      <c r="D57" s="30" t="str">
        <f>Source!H31</f>
        <v>100 М2 ПОВЕРХНОСТИ ОБЛИЦОВКИ</v>
      </c>
      <c r="E57" s="10">
        <f>Source!I31</f>
        <v>0.15340000000000001</v>
      </c>
      <c r="F57" s="32">
        <f>IF(Source!AK31&lt;&gt; 0, Source!AK31,Source!AL31 + Source!AM31 + Source!AO31)</f>
        <v>661.01</v>
      </c>
      <c r="G57" s="31"/>
      <c r="H57" s="33"/>
      <c r="I57" s="31" t="str">
        <f>Source!BO31</f>
        <v>63-7-5</v>
      </c>
      <c r="J57" s="31"/>
      <c r="K57" s="33"/>
      <c r="L57" s="34"/>
      <c r="S57">
        <f>ROUND((Source!FX31/100)*((ROUND(Source!AF31*Source!I31, 0)+ROUND(Source!AE31*Source!I31, 0))), 0)</f>
        <v>47</v>
      </c>
      <c r="T57">
        <f>Source!X31</f>
        <v>979</v>
      </c>
      <c r="U57">
        <f>ROUND((Source!FY31/100)*((ROUND(Source!AF31*Source!I31, 0)+ROUND(Source!AE31*Source!I31, 0))), 0)</f>
        <v>39</v>
      </c>
      <c r="V57">
        <f>Source!Y31</f>
        <v>816</v>
      </c>
    </row>
    <row r="58" spans="1:26">
      <c r="C58" s="49" t="str">
        <f>"Объем: "&amp;Source!I31&amp;"=15,34/"&amp;"100"</f>
        <v>Объем: 0,1534=15,34/100</v>
      </c>
    </row>
    <row r="59" spans="1:26" ht="14.4">
      <c r="A59" s="27"/>
      <c r="B59" s="28"/>
      <c r="C59" s="25" t="s">
        <v>962</v>
      </c>
      <c r="D59" s="30"/>
      <c r="E59" s="10"/>
      <c r="F59" s="32">
        <f>Source!AO31</f>
        <v>546.85</v>
      </c>
      <c r="G59" s="31" t="str">
        <f>Source!DG31</f>
        <v/>
      </c>
      <c r="H59" s="33">
        <f>ROUND(Source!AF31*Source!I31, 0)</f>
        <v>84</v>
      </c>
      <c r="I59" s="31"/>
      <c r="J59" s="31">
        <f>IF(Source!BA31&lt;&gt; 0, Source!BA31, 1)</f>
        <v>20.88</v>
      </c>
      <c r="K59" s="33">
        <f>Source!S31</f>
        <v>1752</v>
      </c>
      <c r="L59" s="34"/>
      <c r="R59">
        <f>H59</f>
        <v>84</v>
      </c>
    </row>
    <row r="60" spans="1:26" ht="14.4">
      <c r="A60" s="27"/>
      <c r="B60" s="28"/>
      <c r="C60" s="25" t="s">
        <v>125</v>
      </c>
      <c r="D60" s="30"/>
      <c r="E60" s="10"/>
      <c r="F60" s="32">
        <f>Source!AM31</f>
        <v>114.16</v>
      </c>
      <c r="G60" s="31" t="str">
        <f>Source!DE31</f>
        <v/>
      </c>
      <c r="H60" s="33">
        <f>ROUND(Source!AD31*Source!I31, 0)</f>
        <v>18</v>
      </c>
      <c r="I60" s="31"/>
      <c r="J60" s="31">
        <f>IF(Source!BB31&lt;&gt; 0, Source!BB31, 1)</f>
        <v>9.66</v>
      </c>
      <c r="K60" s="33">
        <f>Source!Q31</f>
        <v>169</v>
      </c>
      <c r="L60" s="34"/>
    </row>
    <row r="61" spans="1:26" ht="14.4">
      <c r="A61" s="27"/>
      <c r="B61" s="28"/>
      <c r="C61" s="25" t="s">
        <v>963</v>
      </c>
      <c r="D61" s="30"/>
      <c r="E61" s="10"/>
      <c r="F61" s="32">
        <f>Source!AN31</f>
        <v>19</v>
      </c>
      <c r="G61" s="31" t="str">
        <f>Source!DF31</f>
        <v/>
      </c>
      <c r="H61" s="33">
        <f>ROUND(Source!AE31*Source!I31, 0)</f>
        <v>3</v>
      </c>
      <c r="I61" s="31"/>
      <c r="J61" s="31">
        <f>IF(Source!BS31&lt;&gt; 0, Source!BS31, 1)</f>
        <v>20.88</v>
      </c>
      <c r="K61" s="33">
        <f>Source!R31</f>
        <v>61</v>
      </c>
      <c r="L61" s="34"/>
      <c r="R61">
        <f>H61</f>
        <v>3</v>
      </c>
    </row>
    <row r="62" spans="1:26" ht="14.4">
      <c r="A62" s="27"/>
      <c r="B62" s="28"/>
      <c r="C62" s="25" t="s">
        <v>964</v>
      </c>
      <c r="D62" s="30" t="s">
        <v>965</v>
      </c>
      <c r="E62" s="10">
        <f>Source!BZ31</f>
        <v>77</v>
      </c>
      <c r="F62" s="92" t="str">
        <f>CONCATENATE(" )", Source!DL31, Source!FT31, "=", Source!FX31)</f>
        <v xml:space="preserve"> )*0,7=53,9</v>
      </c>
      <c r="G62" s="90"/>
      <c r="H62" s="33">
        <f>SUM(S57:S64)</f>
        <v>47</v>
      </c>
      <c r="I62" s="35"/>
      <c r="J62" s="25">
        <f>Source!AT31</f>
        <v>54</v>
      </c>
      <c r="K62" s="33">
        <f>SUM(T57:T64)</f>
        <v>979</v>
      </c>
      <c r="L62" s="34"/>
    </row>
    <row r="63" spans="1:26" ht="14.4">
      <c r="A63" s="27"/>
      <c r="B63" s="28"/>
      <c r="C63" s="25" t="s">
        <v>966</v>
      </c>
      <c r="D63" s="30" t="s">
        <v>965</v>
      </c>
      <c r="E63" s="10">
        <f>Source!CA31</f>
        <v>50</v>
      </c>
      <c r="F63" s="92" t="str">
        <f>CONCATENATE(" )", Source!DM31, Source!FU31, "=", Source!FY31)</f>
        <v xml:space="preserve"> )*0,9=45</v>
      </c>
      <c r="G63" s="90"/>
      <c r="H63" s="33">
        <f>SUM(U57:U64)</f>
        <v>39</v>
      </c>
      <c r="I63" s="35"/>
      <c r="J63" s="25">
        <f>Source!AU31</f>
        <v>45</v>
      </c>
      <c r="K63" s="33">
        <f>SUM(V57:V64)</f>
        <v>816</v>
      </c>
      <c r="L63" s="34"/>
    </row>
    <row r="64" spans="1:26" ht="14.4">
      <c r="A64" s="39"/>
      <c r="B64" s="40"/>
      <c r="C64" s="41" t="s">
        <v>967</v>
      </c>
      <c r="D64" s="42" t="s">
        <v>968</v>
      </c>
      <c r="E64" s="43">
        <f>Source!AQ31</f>
        <v>74.3</v>
      </c>
      <c r="F64" s="44"/>
      <c r="G64" s="45" t="str">
        <f>Source!DI31</f>
        <v/>
      </c>
      <c r="H64" s="46"/>
      <c r="I64" s="45"/>
      <c r="J64" s="45"/>
      <c r="K64" s="46"/>
      <c r="L64" s="47">
        <f>Source!U31</f>
        <v>11.39762</v>
      </c>
    </row>
    <row r="65" spans="1:26" ht="13.8">
      <c r="G65" s="93">
        <f>ROUND(Source!AC31*Source!I31, 0)+ROUND(Source!AF31*Source!I31, 0)+ROUND(Source!AD31*Source!I31, 0)+SUM(H62:H63)</f>
        <v>188</v>
      </c>
      <c r="H65" s="93"/>
      <c r="J65" s="93">
        <f>Source!O31+SUM(K62:K63)</f>
        <v>3716</v>
      </c>
      <c r="K65" s="93"/>
      <c r="L65" s="38">
        <f>Source!U31</f>
        <v>11.39762</v>
      </c>
      <c r="O65" s="37">
        <f>G65</f>
        <v>188</v>
      </c>
      <c r="P65" s="37">
        <f>J65</f>
        <v>3716</v>
      </c>
      <c r="Q65" s="48">
        <f>L65</f>
        <v>11.39762</v>
      </c>
      <c r="W65">
        <f>IF(Source!BI31&lt;=1,G65, 0)</f>
        <v>188</v>
      </c>
      <c r="X65">
        <f>IF(Source!BI31=2,G65, 0)</f>
        <v>0</v>
      </c>
      <c r="Y65">
        <f>IF(Source!BI31=3,G65, 0)</f>
        <v>0</v>
      </c>
      <c r="Z65">
        <f>IF(Source!BI31=4,G65, 0)</f>
        <v>0</v>
      </c>
    </row>
    <row r="66" spans="1:26" ht="43.2">
      <c r="A66" s="27" t="str">
        <f>Source!E32</f>
        <v>5</v>
      </c>
      <c r="B66" s="28" t="str">
        <f>Source!F32</f>
        <v>57-2-3</v>
      </c>
      <c r="C66" s="25" t="str">
        <f>Source!G32</f>
        <v>Разборка покрытий полов из керамических плиток</v>
      </c>
      <c r="D66" s="30" t="str">
        <f>Source!H32</f>
        <v>100 м2 покрытия</v>
      </c>
      <c r="E66" s="10">
        <f>Source!I32</f>
        <v>3.9E-2</v>
      </c>
      <c r="F66" s="32">
        <f>IF(Source!AK32&lt;&gt; 0, Source!AK32,Source!AL32 + Source!AM32 + Source!AO32)</f>
        <v>603.07000000000005</v>
      </c>
      <c r="G66" s="31"/>
      <c r="H66" s="33"/>
      <c r="I66" s="31" t="str">
        <f>Source!BO32</f>
        <v>57-2-3</v>
      </c>
      <c r="J66" s="31"/>
      <c r="K66" s="33"/>
      <c r="L66" s="34"/>
      <c r="S66">
        <f>ROUND((Source!FX32/100)*((ROUND(Source!AF32*Source!I32, 0)+ROUND(Source!AE32*Source!I32, 0))), 0)</f>
        <v>13</v>
      </c>
      <c r="T66">
        <f>Source!X32</f>
        <v>262</v>
      </c>
      <c r="U66">
        <f>ROUND((Source!FY32/100)*((ROUND(Source!AF32*Source!I32, 0)+ROUND(Source!AE32*Source!I32, 0))), 0)</f>
        <v>14</v>
      </c>
      <c r="V66">
        <f>Source!Y32</f>
        <v>285</v>
      </c>
    </row>
    <row r="67" spans="1:26">
      <c r="C67" s="49" t="str">
        <f>"Объем: "&amp;Source!I32&amp;"=3,9/"&amp;"100"</f>
        <v>Объем: 0,039=3,9/100</v>
      </c>
    </row>
    <row r="68" spans="1:26" ht="14.4">
      <c r="A68" s="27"/>
      <c r="B68" s="28"/>
      <c r="C68" s="25" t="s">
        <v>962</v>
      </c>
      <c r="D68" s="30"/>
      <c r="E68" s="10"/>
      <c r="F68" s="32">
        <f>Source!AO32</f>
        <v>556.86</v>
      </c>
      <c r="G68" s="31" t="str">
        <f>Source!DG32</f>
        <v/>
      </c>
      <c r="H68" s="33">
        <f>ROUND(Source!AF32*Source!I32, 0)</f>
        <v>22</v>
      </c>
      <c r="I68" s="31"/>
      <c r="J68" s="31">
        <f>IF(Source!BA32&lt;&gt; 0, Source!BA32, 1)</f>
        <v>20.88</v>
      </c>
      <c r="K68" s="33">
        <f>Source!S32</f>
        <v>453</v>
      </c>
      <c r="L68" s="34"/>
      <c r="R68">
        <f>H68</f>
        <v>22</v>
      </c>
    </row>
    <row r="69" spans="1:26" ht="14.4">
      <c r="A69" s="27"/>
      <c r="B69" s="28"/>
      <c r="C69" s="25" t="s">
        <v>125</v>
      </c>
      <c r="D69" s="30"/>
      <c r="E69" s="10"/>
      <c r="F69" s="32">
        <f>Source!AM32</f>
        <v>46.21</v>
      </c>
      <c r="G69" s="31" t="str">
        <f>Source!DE32</f>
        <v/>
      </c>
      <c r="H69" s="33">
        <f>ROUND(Source!AD32*Source!I32, 0)</f>
        <v>2</v>
      </c>
      <c r="I69" s="31"/>
      <c r="J69" s="31">
        <f>IF(Source!BB32&lt;&gt; 0, Source!BB32, 1)</f>
        <v>10.210000000000001</v>
      </c>
      <c r="K69" s="33">
        <f>Source!Q32</f>
        <v>18</v>
      </c>
      <c r="L69" s="34"/>
    </row>
    <row r="70" spans="1:26" ht="14.4">
      <c r="A70" s="27"/>
      <c r="B70" s="28"/>
      <c r="C70" s="25" t="s">
        <v>963</v>
      </c>
      <c r="D70" s="30"/>
      <c r="E70" s="10"/>
      <c r="F70" s="32">
        <f>Source!AN32</f>
        <v>17.420000000000002</v>
      </c>
      <c r="G70" s="31" t="str">
        <f>Source!DF32</f>
        <v/>
      </c>
      <c r="H70" s="33">
        <f>ROUND(Source!AE32*Source!I32, 0)</f>
        <v>1</v>
      </c>
      <c r="I70" s="31"/>
      <c r="J70" s="31">
        <f>IF(Source!BS32&lt;&gt; 0, Source!BS32, 1)</f>
        <v>20.88</v>
      </c>
      <c r="K70" s="33">
        <f>Source!R32</f>
        <v>14</v>
      </c>
      <c r="L70" s="34"/>
      <c r="R70">
        <f>H70</f>
        <v>1</v>
      </c>
    </row>
    <row r="71" spans="1:26" ht="14.4">
      <c r="A71" s="27"/>
      <c r="B71" s="28"/>
      <c r="C71" s="25" t="s">
        <v>964</v>
      </c>
      <c r="D71" s="30" t="s">
        <v>965</v>
      </c>
      <c r="E71" s="10">
        <f>Source!BZ32</f>
        <v>80</v>
      </c>
      <c r="F71" s="92" t="str">
        <f>CONCATENATE(" )", Source!DL32, Source!FT32, "=", Source!FX32)</f>
        <v xml:space="preserve"> )*0,7=56</v>
      </c>
      <c r="G71" s="90"/>
      <c r="H71" s="33">
        <f>SUM(S66:S73)</f>
        <v>13</v>
      </c>
      <c r="I71" s="35"/>
      <c r="J71" s="25">
        <f>Source!AT32</f>
        <v>56</v>
      </c>
      <c r="K71" s="33">
        <f>SUM(T66:T73)</f>
        <v>262</v>
      </c>
      <c r="L71" s="34"/>
    </row>
    <row r="72" spans="1:26" ht="14.4">
      <c r="A72" s="27"/>
      <c r="B72" s="28"/>
      <c r="C72" s="25" t="s">
        <v>966</v>
      </c>
      <c r="D72" s="30" t="s">
        <v>965</v>
      </c>
      <c r="E72" s="10">
        <f>Source!CA32</f>
        <v>68</v>
      </c>
      <c r="F72" s="92" t="str">
        <f>CONCATENATE(" )", Source!DM32, Source!FU32, "=", Source!FY32)</f>
        <v xml:space="preserve"> )*0,9=61,2</v>
      </c>
      <c r="G72" s="90"/>
      <c r="H72" s="33">
        <f>SUM(U66:U73)</f>
        <v>14</v>
      </c>
      <c r="I72" s="35"/>
      <c r="J72" s="25">
        <f>Source!AU32</f>
        <v>61</v>
      </c>
      <c r="K72" s="33">
        <f>SUM(V66:V73)</f>
        <v>285</v>
      </c>
      <c r="L72" s="34"/>
    </row>
    <row r="73" spans="1:26" ht="14.4">
      <c r="A73" s="39"/>
      <c r="B73" s="40"/>
      <c r="C73" s="41" t="s">
        <v>967</v>
      </c>
      <c r="D73" s="42" t="s">
        <v>968</v>
      </c>
      <c r="E73" s="43">
        <f>Source!AQ32</f>
        <v>69.87</v>
      </c>
      <c r="F73" s="44"/>
      <c r="G73" s="45" t="str">
        <f>Source!DI32</f>
        <v/>
      </c>
      <c r="H73" s="46"/>
      <c r="I73" s="45"/>
      <c r="J73" s="45"/>
      <c r="K73" s="46"/>
      <c r="L73" s="47">
        <f>Source!U32</f>
        <v>2.7249300000000001</v>
      </c>
    </row>
    <row r="74" spans="1:26" ht="13.8">
      <c r="G74" s="93">
        <f>ROUND(Source!AC32*Source!I32, 0)+ROUND(Source!AF32*Source!I32, 0)+ROUND(Source!AD32*Source!I32, 0)+SUM(H71:H72)</f>
        <v>51</v>
      </c>
      <c r="H74" s="93"/>
      <c r="J74" s="93">
        <f>Source!O32+SUM(K71:K72)</f>
        <v>1018</v>
      </c>
      <c r="K74" s="93"/>
      <c r="L74" s="38">
        <f>Source!U32</f>
        <v>2.7249300000000001</v>
      </c>
      <c r="O74" s="37">
        <f>G74</f>
        <v>51</v>
      </c>
      <c r="P74" s="37">
        <f>J74</f>
        <v>1018</v>
      </c>
      <c r="Q74" s="48">
        <f>L74</f>
        <v>2.7249300000000001</v>
      </c>
      <c r="W74">
        <f>IF(Source!BI32&lt;=1,G74, 0)</f>
        <v>51</v>
      </c>
      <c r="X74">
        <f>IF(Source!BI32=2,G74, 0)</f>
        <v>0</v>
      </c>
      <c r="Y74">
        <f>IF(Source!BI32=3,G74, 0)</f>
        <v>0</v>
      </c>
      <c r="Z74">
        <f>IF(Source!BI32=4,G74, 0)</f>
        <v>0</v>
      </c>
    </row>
    <row r="75" spans="1:26" ht="28.2">
      <c r="A75" s="27" t="str">
        <f>Source!E33</f>
        <v>6</v>
      </c>
      <c r="B75" s="28" t="str">
        <f>Source!F33</f>
        <v>46-04-012-3</v>
      </c>
      <c r="C75" s="25" t="str">
        <f>Source!G33</f>
        <v>Разборка деревянных заполнений проемов дверных и воротных</v>
      </c>
      <c r="D75" s="30" t="str">
        <f>Source!H33</f>
        <v>100 м2</v>
      </c>
      <c r="E75" s="10">
        <f>Source!I33</f>
        <v>2.9399999999999999E-2</v>
      </c>
      <c r="F75" s="32">
        <f>IF(Source!AK33&lt;&gt; 0, Source!AK33,Source!AL33 + Source!AM33 + Source!AO33)</f>
        <v>1033.94</v>
      </c>
      <c r="G75" s="31"/>
      <c r="H75" s="33"/>
      <c r="I75" s="31" t="str">
        <f>Source!BO33</f>
        <v>46-04-012-3</v>
      </c>
      <c r="J75" s="31"/>
      <c r="K75" s="33"/>
      <c r="L75" s="34"/>
      <c r="S75">
        <f>ROUND((Source!FX33/100)*((ROUND(Source!AF33*Source!I33, 0)+ROUND(Source!AE33*Source!I33, 0))), 0)</f>
        <v>18</v>
      </c>
      <c r="T75">
        <f>Source!X33</f>
        <v>372</v>
      </c>
      <c r="U75">
        <f>ROUND((Source!FY33/100)*((ROUND(Source!AF33*Source!I33, 0)+ROUND(Source!AE33*Source!I33, 0))), 0)</f>
        <v>14</v>
      </c>
      <c r="V75">
        <f>Source!Y33</f>
        <v>291</v>
      </c>
    </row>
    <row r="76" spans="1:26">
      <c r="C76" s="49" t="str">
        <f>"Объем: "&amp;Source!I33&amp;"=2,94/"&amp;"100"</f>
        <v>Объем: 0,0294=2,94/100</v>
      </c>
    </row>
    <row r="77" spans="1:26" ht="14.4">
      <c r="A77" s="27"/>
      <c r="B77" s="28"/>
      <c r="C77" s="25" t="s">
        <v>962</v>
      </c>
      <c r="D77" s="30"/>
      <c r="E77" s="10"/>
      <c r="F77" s="32">
        <f>Source!AO33</f>
        <v>785.56</v>
      </c>
      <c r="G77" s="31" t="str">
        <f>Source!DG33</f>
        <v/>
      </c>
      <c r="H77" s="33">
        <f>ROUND(Source!AF33*Source!I33, 0)</f>
        <v>23</v>
      </c>
      <c r="I77" s="31"/>
      <c r="J77" s="31">
        <f>IF(Source!BA33&lt;&gt; 0, Source!BA33, 1)</f>
        <v>20.88</v>
      </c>
      <c r="K77" s="33">
        <f>Source!S33</f>
        <v>482</v>
      </c>
      <c r="L77" s="34"/>
      <c r="R77">
        <f>H77</f>
        <v>23</v>
      </c>
    </row>
    <row r="78" spans="1:26" ht="14.4">
      <c r="A78" s="27"/>
      <c r="B78" s="28"/>
      <c r="C78" s="25" t="s">
        <v>125</v>
      </c>
      <c r="D78" s="30"/>
      <c r="E78" s="10"/>
      <c r="F78" s="32">
        <f>Source!AM33</f>
        <v>248.38</v>
      </c>
      <c r="G78" s="31" t="str">
        <f>Source!DE33</f>
        <v/>
      </c>
      <c r="H78" s="33">
        <f>ROUND(Source!AD33*Source!I33, 0)</f>
        <v>7</v>
      </c>
      <c r="I78" s="31"/>
      <c r="J78" s="31">
        <f>IF(Source!BB33&lt;&gt; 0, Source!BB33, 1)</f>
        <v>10.210000000000001</v>
      </c>
      <c r="K78" s="33">
        <f>Source!Q33</f>
        <v>75</v>
      </c>
      <c r="L78" s="34"/>
    </row>
    <row r="79" spans="1:26" ht="14.4">
      <c r="A79" s="27"/>
      <c r="B79" s="28"/>
      <c r="C79" s="25" t="s">
        <v>963</v>
      </c>
      <c r="D79" s="30"/>
      <c r="E79" s="10"/>
      <c r="F79" s="32">
        <f>Source!AN33</f>
        <v>93.65</v>
      </c>
      <c r="G79" s="31" t="str">
        <f>Source!DF33</f>
        <v/>
      </c>
      <c r="H79" s="33">
        <f>ROUND(Source!AE33*Source!I33, 0)</f>
        <v>3</v>
      </c>
      <c r="I79" s="31"/>
      <c r="J79" s="31">
        <f>IF(Source!BS33&lt;&gt; 0, Source!BS33, 1)</f>
        <v>20.88</v>
      </c>
      <c r="K79" s="33">
        <f>Source!R33</f>
        <v>57</v>
      </c>
      <c r="L79" s="34"/>
      <c r="R79">
        <f>H79</f>
        <v>3</v>
      </c>
    </row>
    <row r="80" spans="1:26" ht="14.4">
      <c r="A80" s="27"/>
      <c r="B80" s="28"/>
      <c r="C80" s="25" t="s">
        <v>964</v>
      </c>
      <c r="D80" s="30" t="s">
        <v>965</v>
      </c>
      <c r="E80" s="10">
        <f>Source!BZ33</f>
        <v>110</v>
      </c>
      <c r="F80" s="92" t="str">
        <f>CONCATENATE(" )", Source!DL33, Source!FT33, "=", Source!FX33)</f>
        <v xml:space="preserve"> )*0,9*0,7=69,3</v>
      </c>
      <c r="G80" s="90"/>
      <c r="H80" s="33">
        <f>SUM(S75:S82)</f>
        <v>18</v>
      </c>
      <c r="I80" s="35"/>
      <c r="J80" s="25">
        <f>Source!AT33</f>
        <v>69</v>
      </c>
      <c r="K80" s="33">
        <f>SUM(T75:T82)</f>
        <v>372</v>
      </c>
      <c r="L80" s="34"/>
    </row>
    <row r="81" spans="1:26" ht="14.4">
      <c r="A81" s="27"/>
      <c r="B81" s="28"/>
      <c r="C81" s="25" t="s">
        <v>966</v>
      </c>
      <c r="D81" s="30" t="s">
        <v>965</v>
      </c>
      <c r="E81" s="10">
        <f>Source!CA33</f>
        <v>70</v>
      </c>
      <c r="F81" s="92" t="str">
        <f>CONCATENATE(" )", Source!DM33, Source!FU33, "=", Source!FY33)</f>
        <v xml:space="preserve"> )*0,85*0,9=53,55</v>
      </c>
      <c r="G81" s="90"/>
      <c r="H81" s="33">
        <f>SUM(U75:U82)</f>
        <v>14</v>
      </c>
      <c r="I81" s="35"/>
      <c r="J81" s="25">
        <f>Source!AU33</f>
        <v>54</v>
      </c>
      <c r="K81" s="33">
        <f>SUM(V75:V82)</f>
        <v>291</v>
      </c>
      <c r="L81" s="34"/>
    </row>
    <row r="82" spans="1:26" ht="14.4">
      <c r="A82" s="39"/>
      <c r="B82" s="40"/>
      <c r="C82" s="41" t="s">
        <v>967</v>
      </c>
      <c r="D82" s="42" t="s">
        <v>968</v>
      </c>
      <c r="E82" s="43">
        <f>Source!AQ33</f>
        <v>103.91</v>
      </c>
      <c r="F82" s="44"/>
      <c r="G82" s="45" t="str">
        <f>Source!DI33</f>
        <v/>
      </c>
      <c r="H82" s="46"/>
      <c r="I82" s="45"/>
      <c r="J82" s="45"/>
      <c r="K82" s="46"/>
      <c r="L82" s="47">
        <f>Source!U33</f>
        <v>3.0549539999999999</v>
      </c>
    </row>
    <row r="83" spans="1:26" ht="13.8">
      <c r="G83" s="93">
        <f>ROUND(Source!AC33*Source!I33, 0)+ROUND(Source!AF33*Source!I33, 0)+ROUND(Source!AD33*Source!I33, 0)+SUM(H80:H81)</f>
        <v>62</v>
      </c>
      <c r="H83" s="93"/>
      <c r="J83" s="93">
        <f>Source!O33+SUM(K80:K81)</f>
        <v>1220</v>
      </c>
      <c r="K83" s="93"/>
      <c r="L83" s="38">
        <f>Source!U33</f>
        <v>3.0549539999999999</v>
      </c>
      <c r="O83" s="37">
        <f>G83</f>
        <v>62</v>
      </c>
      <c r="P83" s="37">
        <f>J83</f>
        <v>1220</v>
      </c>
      <c r="Q83" s="48">
        <f>L83</f>
        <v>3.0549539999999999</v>
      </c>
      <c r="W83">
        <f>IF(Source!BI33&lt;=1,G83, 0)</f>
        <v>62</v>
      </c>
      <c r="X83">
        <f>IF(Source!BI33=2,G83, 0)</f>
        <v>0</v>
      </c>
      <c r="Y83">
        <f>IF(Source!BI33=3,G83, 0)</f>
        <v>0</v>
      </c>
      <c r="Z83">
        <f>IF(Source!BI33=4,G83, 0)</f>
        <v>0</v>
      </c>
    </row>
    <row r="84" spans="1:26" ht="28.2">
      <c r="A84" s="27" t="str">
        <f>Source!E34</f>
        <v>7</v>
      </c>
      <c r="B84" s="28" t="str">
        <f>Source!F34</f>
        <v>46-02-009-2</v>
      </c>
      <c r="C84" s="25" t="str">
        <f>Source!G34</f>
        <v>Отбивка штукатурки с поверхностей стен и потолков кирпичных</v>
      </c>
      <c r="D84" s="30" t="str">
        <f>Source!H34</f>
        <v>100 м2</v>
      </c>
      <c r="E84" s="10">
        <f>Source!I34</f>
        <v>0.2089</v>
      </c>
      <c r="F84" s="32">
        <f>IF(Source!AK34&lt;&gt; 0, Source!AK34,Source!AL34 + Source!AM34 + Source!AO34)</f>
        <v>166.36</v>
      </c>
      <c r="G84" s="31"/>
      <c r="H84" s="33"/>
      <c r="I84" s="31" t="str">
        <f>Source!BO34</f>
        <v>46-02-009-2</v>
      </c>
      <c r="J84" s="31"/>
      <c r="K84" s="33"/>
      <c r="L84" s="34"/>
      <c r="S84">
        <f>ROUND((Source!FX34/100)*((ROUND(Source!AF34*Source!I34, 0)+ROUND(Source!AE34*Source!I34, 0))), 0)</f>
        <v>24</v>
      </c>
      <c r="T84">
        <f>Source!X34</f>
        <v>501</v>
      </c>
      <c r="U84">
        <f>ROUND((Source!FY34/100)*((ROUND(Source!AF34*Source!I34, 0)+ROUND(Source!AE34*Source!I34, 0))), 0)</f>
        <v>19</v>
      </c>
      <c r="V84">
        <f>Source!Y34</f>
        <v>392</v>
      </c>
    </row>
    <row r="85" spans="1:26">
      <c r="C85" s="49" t="str">
        <f>"Объем: "&amp;Source!I34&amp;"=20,89/"&amp;"100"</f>
        <v>Объем: 0,2089=20,89/100</v>
      </c>
    </row>
    <row r="86" spans="1:26" ht="14.4">
      <c r="A86" s="27"/>
      <c r="B86" s="28"/>
      <c r="C86" s="25" t="s">
        <v>962</v>
      </c>
      <c r="D86" s="30"/>
      <c r="E86" s="10"/>
      <c r="F86" s="32">
        <f>Source!AO34</f>
        <v>166.36</v>
      </c>
      <c r="G86" s="31" t="str">
        <f>Source!DG34</f>
        <v/>
      </c>
      <c r="H86" s="33">
        <f>ROUND(Source!AF34*Source!I34, 0)</f>
        <v>35</v>
      </c>
      <c r="I86" s="31"/>
      <c r="J86" s="31">
        <f>IF(Source!BA34&lt;&gt; 0, Source!BA34, 1)</f>
        <v>20.88</v>
      </c>
      <c r="K86" s="33">
        <f>Source!S34</f>
        <v>726</v>
      </c>
      <c r="L86" s="34"/>
      <c r="R86">
        <f>H86</f>
        <v>35</v>
      </c>
    </row>
    <row r="87" spans="1:26" ht="14.4">
      <c r="A87" s="27"/>
      <c r="B87" s="28"/>
      <c r="C87" s="25" t="s">
        <v>964</v>
      </c>
      <c r="D87" s="30" t="s">
        <v>965</v>
      </c>
      <c r="E87" s="10">
        <f>Source!BZ34</f>
        <v>110</v>
      </c>
      <c r="F87" s="92" t="str">
        <f>CONCATENATE(" )", Source!DL34, Source!FT34, "=", Source!FX34)</f>
        <v xml:space="preserve"> )*0,9*0,7=69,3</v>
      </c>
      <c r="G87" s="90"/>
      <c r="H87" s="33">
        <f>SUM(S84:S89)</f>
        <v>24</v>
      </c>
      <c r="I87" s="35"/>
      <c r="J87" s="25">
        <f>Source!AT34</f>
        <v>69</v>
      </c>
      <c r="K87" s="33">
        <f>SUM(T84:T89)</f>
        <v>501</v>
      </c>
      <c r="L87" s="34"/>
    </row>
    <row r="88" spans="1:26" ht="14.4">
      <c r="A88" s="27"/>
      <c r="B88" s="28"/>
      <c r="C88" s="25" t="s">
        <v>966</v>
      </c>
      <c r="D88" s="30" t="s">
        <v>965</v>
      </c>
      <c r="E88" s="10">
        <f>Source!CA34</f>
        <v>70</v>
      </c>
      <c r="F88" s="92" t="str">
        <f>CONCATENATE(" )", Source!DM34, Source!FU34, "=", Source!FY34)</f>
        <v xml:space="preserve"> )*0,85*0,9=53,55</v>
      </c>
      <c r="G88" s="90"/>
      <c r="H88" s="33">
        <f>SUM(U84:U89)</f>
        <v>19</v>
      </c>
      <c r="I88" s="35"/>
      <c r="J88" s="25">
        <f>Source!AU34</f>
        <v>54</v>
      </c>
      <c r="K88" s="33">
        <f>SUM(V84:V89)</f>
        <v>392</v>
      </c>
      <c r="L88" s="34"/>
    </row>
    <row r="89" spans="1:26" ht="14.4">
      <c r="A89" s="39"/>
      <c r="B89" s="40"/>
      <c r="C89" s="41" t="s">
        <v>967</v>
      </c>
      <c r="D89" s="42" t="s">
        <v>968</v>
      </c>
      <c r="E89" s="43">
        <f>Source!AQ34</f>
        <v>22.82</v>
      </c>
      <c r="F89" s="44"/>
      <c r="G89" s="45" t="str">
        <f>Source!DI34</f>
        <v/>
      </c>
      <c r="H89" s="46"/>
      <c r="I89" s="45"/>
      <c r="J89" s="45"/>
      <c r="K89" s="46"/>
      <c r="L89" s="47">
        <f>Source!U34</f>
        <v>4.7670979999999998</v>
      </c>
    </row>
    <row r="90" spans="1:26" ht="13.8">
      <c r="G90" s="93">
        <f>ROUND(Source!AC34*Source!I34, 0)+ROUND(Source!AF34*Source!I34, 0)+ROUND(Source!AD34*Source!I34, 0)+SUM(H87:H88)</f>
        <v>78</v>
      </c>
      <c r="H90" s="93"/>
      <c r="J90" s="93">
        <f>Source!O34+SUM(K87:K88)</f>
        <v>1619</v>
      </c>
      <c r="K90" s="93"/>
      <c r="L90" s="38">
        <f>Source!U34</f>
        <v>4.7670979999999998</v>
      </c>
      <c r="O90" s="37">
        <f>G90</f>
        <v>78</v>
      </c>
      <c r="P90" s="37">
        <f>J90</f>
        <v>1619</v>
      </c>
      <c r="Q90" s="48">
        <f>L90</f>
        <v>4.7670979999999998</v>
      </c>
      <c r="W90">
        <f>IF(Source!BI34&lt;=1,G90, 0)</f>
        <v>78</v>
      </c>
      <c r="X90">
        <f>IF(Source!BI34=2,G90, 0)</f>
        <v>0</v>
      </c>
      <c r="Y90">
        <f>IF(Source!BI34=3,G90, 0)</f>
        <v>0</v>
      </c>
      <c r="Z90">
        <f>IF(Source!BI34=4,G90, 0)</f>
        <v>0</v>
      </c>
    </row>
    <row r="91" spans="1:26" ht="28.2">
      <c r="A91" s="27" t="str">
        <f>Source!E35</f>
        <v>8</v>
      </c>
      <c r="B91" s="28" t="str">
        <f>Source!F35</f>
        <v>67-4-5</v>
      </c>
      <c r="C91" s="25" t="str">
        <f>Source!G35</f>
        <v>Демонтаж светильников для люминесцентных ламп</v>
      </c>
      <c r="D91" s="30" t="str">
        <f>Source!H35</f>
        <v>100 шт.</v>
      </c>
      <c r="E91" s="10">
        <f>Source!I35</f>
        <v>0.02</v>
      </c>
      <c r="F91" s="32">
        <f>IF(Source!AK35&lt;&gt; 0, Source!AK35,Source!AL35 + Source!AM35 + Source!AO35)</f>
        <v>136.57</v>
      </c>
      <c r="G91" s="31"/>
      <c r="H91" s="33"/>
      <c r="I91" s="31" t="str">
        <f>Source!BO35</f>
        <v>67-4-5</v>
      </c>
      <c r="J91" s="31"/>
      <c r="K91" s="33"/>
      <c r="L91" s="34"/>
      <c r="S91">
        <f>ROUND((Source!FX35/100)*((ROUND(Source!AF35*Source!I35, 0)+ROUND(Source!AE35*Source!I35, 0))), 0)</f>
        <v>2</v>
      </c>
      <c r="T91">
        <f>Source!X35</f>
        <v>34</v>
      </c>
      <c r="U91">
        <f>ROUND((Source!FY35/100)*((ROUND(Source!AF35*Source!I35, 0)+ROUND(Source!AE35*Source!I35, 0))), 0)</f>
        <v>2</v>
      </c>
      <c r="V91">
        <f>Source!Y35</f>
        <v>33</v>
      </c>
    </row>
    <row r="92" spans="1:26">
      <c r="C92" s="49" t="str">
        <f>"Объем: "&amp;Source!I35&amp;"=2/"&amp;"100"</f>
        <v>Объем: 0,02=2/100</v>
      </c>
    </row>
    <row r="93" spans="1:26" ht="14.4">
      <c r="A93" s="27"/>
      <c r="B93" s="28"/>
      <c r="C93" s="25" t="s">
        <v>962</v>
      </c>
      <c r="D93" s="30"/>
      <c r="E93" s="10"/>
      <c r="F93" s="32">
        <f>Source!AO35</f>
        <v>134</v>
      </c>
      <c r="G93" s="31" t="str">
        <f>Source!DG35</f>
        <v/>
      </c>
      <c r="H93" s="33">
        <f>ROUND(Source!AF35*Source!I35, 0)</f>
        <v>3</v>
      </c>
      <c r="I93" s="31"/>
      <c r="J93" s="31">
        <f>IF(Source!BA35&lt;&gt; 0, Source!BA35, 1)</f>
        <v>20.88</v>
      </c>
      <c r="K93" s="33">
        <f>Source!S35</f>
        <v>56</v>
      </c>
      <c r="L93" s="34"/>
      <c r="R93">
        <f>H93</f>
        <v>3</v>
      </c>
    </row>
    <row r="94" spans="1:26" ht="14.4">
      <c r="A94" s="27"/>
      <c r="B94" s="28"/>
      <c r="C94" s="25" t="s">
        <v>125</v>
      </c>
      <c r="D94" s="30"/>
      <c r="E94" s="10"/>
      <c r="F94" s="32">
        <f>Source!AM35</f>
        <v>2.57</v>
      </c>
      <c r="G94" s="31" t="str">
        <f>Source!DE35</f>
        <v/>
      </c>
      <c r="H94" s="33">
        <f>ROUND(Source!AD35*Source!I35, 0)</f>
        <v>0</v>
      </c>
      <c r="I94" s="31"/>
      <c r="J94" s="31">
        <f>IF(Source!BB35&lt;&gt; 0, Source!BB35, 1)</f>
        <v>10.199999999999999</v>
      </c>
      <c r="K94" s="33">
        <f>Source!Q35</f>
        <v>1</v>
      </c>
      <c r="L94" s="34"/>
    </row>
    <row r="95" spans="1:26" ht="14.4">
      <c r="A95" s="27"/>
      <c r="B95" s="28"/>
      <c r="C95" s="25" t="s">
        <v>964</v>
      </c>
      <c r="D95" s="30" t="s">
        <v>965</v>
      </c>
      <c r="E95" s="10">
        <f>Source!BZ35</f>
        <v>85</v>
      </c>
      <c r="F95" s="92" t="str">
        <f>CONCATENATE(" )", Source!DL35, Source!FT35, "=", Source!FX35)</f>
        <v xml:space="preserve"> )*0,7=59,5</v>
      </c>
      <c r="G95" s="90"/>
      <c r="H95" s="33">
        <f>SUM(S91:S97)</f>
        <v>2</v>
      </c>
      <c r="I95" s="35"/>
      <c r="J95" s="25">
        <f>Source!AT35</f>
        <v>60</v>
      </c>
      <c r="K95" s="33">
        <f>SUM(T91:T97)</f>
        <v>34</v>
      </c>
      <c r="L95" s="34"/>
    </row>
    <row r="96" spans="1:26" ht="14.4">
      <c r="A96" s="27"/>
      <c r="B96" s="28"/>
      <c r="C96" s="25" t="s">
        <v>966</v>
      </c>
      <c r="D96" s="30" t="s">
        <v>965</v>
      </c>
      <c r="E96" s="10">
        <f>Source!CA35</f>
        <v>65</v>
      </c>
      <c r="F96" s="92" t="str">
        <f>CONCATENATE(" )", Source!DM35, Source!FU35, "=", Source!FY35)</f>
        <v xml:space="preserve"> )*0,9=58,5</v>
      </c>
      <c r="G96" s="90"/>
      <c r="H96" s="33">
        <f>SUM(U91:U97)</f>
        <v>2</v>
      </c>
      <c r="I96" s="35"/>
      <c r="J96" s="25">
        <f>Source!AU35</f>
        <v>59</v>
      </c>
      <c r="K96" s="33">
        <f>SUM(V91:V97)</f>
        <v>33</v>
      </c>
      <c r="L96" s="34"/>
    </row>
    <row r="97" spans="1:26" ht="14.4">
      <c r="A97" s="39"/>
      <c r="B97" s="40"/>
      <c r="C97" s="41" t="s">
        <v>967</v>
      </c>
      <c r="D97" s="42" t="s">
        <v>968</v>
      </c>
      <c r="E97" s="43">
        <f>Source!AQ35</f>
        <v>17.89</v>
      </c>
      <c r="F97" s="44"/>
      <c r="G97" s="45" t="str">
        <f>Source!DI35</f>
        <v/>
      </c>
      <c r="H97" s="46"/>
      <c r="I97" s="45"/>
      <c r="J97" s="45"/>
      <c r="K97" s="46"/>
      <c r="L97" s="47">
        <f>Source!U35</f>
        <v>0.35780000000000001</v>
      </c>
    </row>
    <row r="98" spans="1:26" ht="13.8">
      <c r="G98" s="93">
        <f>ROUND(Source!AC35*Source!I35, 0)+ROUND(Source!AF35*Source!I35, 0)+ROUND(Source!AD35*Source!I35, 0)+SUM(H95:H96)</f>
        <v>7</v>
      </c>
      <c r="H98" s="93"/>
      <c r="J98" s="93">
        <f>Source!O35+SUM(K95:K96)</f>
        <v>124</v>
      </c>
      <c r="K98" s="93"/>
      <c r="L98" s="38">
        <f>Source!U35</f>
        <v>0.35780000000000001</v>
      </c>
      <c r="O98" s="37">
        <f>G98</f>
        <v>7</v>
      </c>
      <c r="P98" s="37">
        <f>J98</f>
        <v>124</v>
      </c>
      <c r="Q98" s="48">
        <f>L98</f>
        <v>0.35780000000000001</v>
      </c>
      <c r="W98">
        <f>IF(Source!BI35&lt;=1,G98, 0)</f>
        <v>7</v>
      </c>
      <c r="X98">
        <f>IF(Source!BI35=2,G98, 0)</f>
        <v>0</v>
      </c>
      <c r="Y98">
        <f>IF(Source!BI35=3,G98, 0)</f>
        <v>0</v>
      </c>
      <c r="Z98">
        <f>IF(Source!BI35=4,G98, 0)</f>
        <v>0</v>
      </c>
    </row>
    <row r="99" spans="1:26" ht="28.8">
      <c r="A99" s="27" t="str">
        <f>Source!E36</f>
        <v>9</v>
      </c>
      <c r="B99" s="28" t="str">
        <f>Source!F36</f>
        <v>65-4-2</v>
      </c>
      <c r="C99" s="25" t="str">
        <f>Source!G36</f>
        <v>Демонтаж унитазов и писсуаров</v>
      </c>
      <c r="D99" s="30" t="str">
        <f>Source!H36</f>
        <v>100 приборов</v>
      </c>
      <c r="E99" s="10">
        <f>Source!I36</f>
        <v>0.01</v>
      </c>
      <c r="F99" s="32">
        <f>IF(Source!AK36&lt;&gt; 0, Source!AK36,Source!AL36 + Source!AM36 + Source!AO36)</f>
        <v>518.11</v>
      </c>
      <c r="G99" s="31"/>
      <c r="H99" s="33"/>
      <c r="I99" s="31" t="str">
        <f>Source!BO36</f>
        <v>65-4-2</v>
      </c>
      <c r="J99" s="31"/>
      <c r="K99" s="33"/>
      <c r="L99" s="34"/>
      <c r="S99">
        <f>ROUND((Source!FX36/100)*((ROUND(Source!AF36*Source!I36, 0)+ROUND(Source!AE36*Source!I36, 0))), 0)</f>
        <v>3</v>
      </c>
      <c r="T99">
        <f>Source!X36</f>
        <v>56</v>
      </c>
      <c r="U99">
        <f>ROUND((Source!FY36/100)*((ROUND(Source!AF36*Source!I36, 0)+ROUND(Source!AE36*Source!I36, 0))), 0)</f>
        <v>2</v>
      </c>
      <c r="V99">
        <f>Source!Y36</f>
        <v>48</v>
      </c>
    </row>
    <row r="100" spans="1:26">
      <c r="C100" s="49" t="str">
        <f>"Объем: "&amp;Source!I36&amp;"=1/"&amp;"100"</f>
        <v>Объем: 0,01=1/100</v>
      </c>
    </row>
    <row r="101" spans="1:26" ht="14.4">
      <c r="A101" s="27"/>
      <c r="B101" s="28"/>
      <c r="C101" s="25" t="s">
        <v>962</v>
      </c>
      <c r="D101" s="30"/>
      <c r="E101" s="10"/>
      <c r="F101" s="32">
        <f>Source!AO36</f>
        <v>508.8</v>
      </c>
      <c r="G101" s="31" t="str">
        <f>Source!DG36</f>
        <v/>
      </c>
      <c r="H101" s="33">
        <f>ROUND(Source!AF36*Source!I36, 0)</f>
        <v>5</v>
      </c>
      <c r="I101" s="31"/>
      <c r="J101" s="31">
        <f>IF(Source!BA36&lt;&gt; 0, Source!BA36, 1)</f>
        <v>20.88</v>
      </c>
      <c r="K101" s="33">
        <f>Source!S36</f>
        <v>106</v>
      </c>
      <c r="L101" s="34"/>
      <c r="R101">
        <f>H101</f>
        <v>5</v>
      </c>
    </row>
    <row r="102" spans="1:26" ht="14.4">
      <c r="A102" s="27"/>
      <c r="B102" s="28"/>
      <c r="C102" s="25" t="s">
        <v>125</v>
      </c>
      <c r="D102" s="30"/>
      <c r="E102" s="10"/>
      <c r="F102" s="32">
        <f>Source!AM36</f>
        <v>9.31</v>
      </c>
      <c r="G102" s="31" t="str">
        <f>Source!DE36</f>
        <v/>
      </c>
      <c r="H102" s="33">
        <f>ROUND(Source!AD36*Source!I36, 0)</f>
        <v>0</v>
      </c>
      <c r="I102" s="31"/>
      <c r="J102" s="31">
        <f>IF(Source!BB36&lt;&gt; 0, Source!BB36, 1)</f>
        <v>10.210000000000001</v>
      </c>
      <c r="K102" s="33">
        <f>Source!Q36</f>
        <v>1</v>
      </c>
      <c r="L102" s="34"/>
    </row>
    <row r="103" spans="1:26" ht="14.4">
      <c r="A103" s="27"/>
      <c r="B103" s="28"/>
      <c r="C103" s="25" t="s">
        <v>963</v>
      </c>
      <c r="D103" s="30"/>
      <c r="E103" s="10"/>
      <c r="F103" s="32">
        <f>Source!AN36</f>
        <v>3.51</v>
      </c>
      <c r="G103" s="31" t="str">
        <f>Source!DF36</f>
        <v/>
      </c>
      <c r="H103" s="33">
        <f>ROUND(Source!AE36*Source!I36, 0)</f>
        <v>0</v>
      </c>
      <c r="I103" s="31"/>
      <c r="J103" s="31">
        <f>IF(Source!BS36&lt;&gt; 0, Source!BS36, 1)</f>
        <v>20.88</v>
      </c>
      <c r="K103" s="33">
        <f>Source!R36</f>
        <v>1</v>
      </c>
      <c r="L103" s="34"/>
      <c r="R103">
        <f>H103</f>
        <v>0</v>
      </c>
    </row>
    <row r="104" spans="1:26" ht="14.4">
      <c r="A104" s="27"/>
      <c r="B104" s="28"/>
      <c r="C104" s="25" t="s">
        <v>964</v>
      </c>
      <c r="D104" s="30" t="s">
        <v>965</v>
      </c>
      <c r="E104" s="10">
        <f>Source!BZ36</f>
        <v>74</v>
      </c>
      <c r="F104" s="92" t="str">
        <f>CONCATENATE(" )", Source!DL36, Source!FT36, "=", Source!FX36)</f>
        <v xml:space="preserve"> )*0,7=51,8</v>
      </c>
      <c r="G104" s="90"/>
      <c r="H104" s="33">
        <f>SUM(S99:S106)</f>
        <v>3</v>
      </c>
      <c r="I104" s="35"/>
      <c r="J104" s="25">
        <f>Source!AT36</f>
        <v>52</v>
      </c>
      <c r="K104" s="33">
        <f>SUM(T99:T106)</f>
        <v>56</v>
      </c>
      <c r="L104" s="34"/>
    </row>
    <row r="105" spans="1:26" ht="14.4">
      <c r="A105" s="27"/>
      <c r="B105" s="28"/>
      <c r="C105" s="25" t="s">
        <v>966</v>
      </c>
      <c r="D105" s="30" t="s">
        <v>965</v>
      </c>
      <c r="E105" s="10">
        <f>Source!CA36</f>
        <v>50</v>
      </c>
      <c r="F105" s="92" t="str">
        <f>CONCATENATE(" )", Source!DM36, Source!FU36, "=", Source!FY36)</f>
        <v xml:space="preserve"> )*0,9=45</v>
      </c>
      <c r="G105" s="90"/>
      <c r="H105" s="33">
        <f>SUM(U99:U106)</f>
        <v>2</v>
      </c>
      <c r="I105" s="35"/>
      <c r="J105" s="25">
        <f>Source!AU36</f>
        <v>45</v>
      </c>
      <c r="K105" s="33">
        <f>SUM(V99:V106)</f>
        <v>48</v>
      </c>
      <c r="L105" s="34"/>
    </row>
    <row r="106" spans="1:26" ht="14.4">
      <c r="A106" s="39"/>
      <c r="B106" s="40"/>
      <c r="C106" s="41" t="s">
        <v>967</v>
      </c>
      <c r="D106" s="42" t="s">
        <v>968</v>
      </c>
      <c r="E106" s="43">
        <f>Source!AQ36</f>
        <v>63.84</v>
      </c>
      <c r="F106" s="44"/>
      <c r="G106" s="45" t="str">
        <f>Source!DI36</f>
        <v/>
      </c>
      <c r="H106" s="46"/>
      <c r="I106" s="45"/>
      <c r="J106" s="45"/>
      <c r="K106" s="46"/>
      <c r="L106" s="47">
        <f>Source!U36</f>
        <v>0.63840000000000008</v>
      </c>
    </row>
    <row r="107" spans="1:26" ht="13.8">
      <c r="G107" s="93">
        <f>ROUND(Source!AC36*Source!I36, 0)+ROUND(Source!AF36*Source!I36, 0)+ROUND(Source!AD36*Source!I36, 0)+SUM(H104:H105)</f>
        <v>10</v>
      </c>
      <c r="H107" s="93"/>
      <c r="J107" s="93">
        <f>Source!O36+SUM(K104:K105)</f>
        <v>211</v>
      </c>
      <c r="K107" s="93"/>
      <c r="L107" s="38">
        <f>Source!U36</f>
        <v>0.63840000000000008</v>
      </c>
      <c r="O107" s="37">
        <f>G107</f>
        <v>10</v>
      </c>
      <c r="P107" s="37">
        <f>J107</f>
        <v>211</v>
      </c>
      <c r="Q107" s="48">
        <f>L107</f>
        <v>0.63840000000000008</v>
      </c>
      <c r="W107">
        <f>IF(Source!BI36&lt;=1,G107, 0)</f>
        <v>10</v>
      </c>
      <c r="X107">
        <f>IF(Source!BI36=2,G107, 0)</f>
        <v>0</v>
      </c>
      <c r="Y107">
        <f>IF(Source!BI36=3,G107, 0)</f>
        <v>0</v>
      </c>
      <c r="Z107">
        <f>IF(Source!BI36=4,G107, 0)</f>
        <v>0</v>
      </c>
    </row>
    <row r="108" spans="1:26" ht="28.8">
      <c r="A108" s="27" t="str">
        <f>Source!E37</f>
        <v>10</v>
      </c>
      <c r="B108" s="28" t="str">
        <f>Source!F37</f>
        <v>65-4-1</v>
      </c>
      <c r="C108" s="25" t="str">
        <f>Source!G37</f>
        <v>Демонтаж умывальников и раковин</v>
      </c>
      <c r="D108" s="30" t="str">
        <f>Source!H37</f>
        <v>100 приборов</v>
      </c>
      <c r="E108" s="10">
        <f>Source!I37</f>
        <v>0.01</v>
      </c>
      <c r="F108" s="32">
        <f>IF(Source!AK37&lt;&gt; 0, Source!AK37,Source!AL37 + Source!AM37 + Source!AO37)</f>
        <v>417.2</v>
      </c>
      <c r="G108" s="31"/>
      <c r="H108" s="33"/>
      <c r="I108" s="31" t="str">
        <f>Source!BO37</f>
        <v>65-4-1</v>
      </c>
      <c r="J108" s="31"/>
      <c r="K108" s="33"/>
      <c r="L108" s="34"/>
      <c r="S108">
        <f>ROUND((Source!FX37/100)*((ROUND(Source!AF37*Source!I37, 0)+ROUND(Source!AE37*Source!I37, 0))), 0)</f>
        <v>2</v>
      </c>
      <c r="T108">
        <f>Source!X37</f>
        <v>45</v>
      </c>
      <c r="U108">
        <f>ROUND((Source!FY37/100)*((ROUND(Source!AF37*Source!I37, 0)+ROUND(Source!AE37*Source!I37, 0))), 0)</f>
        <v>2</v>
      </c>
      <c r="V108">
        <f>Source!Y37</f>
        <v>39</v>
      </c>
    </row>
    <row r="109" spans="1:26">
      <c r="C109" s="49" t="str">
        <f>"Объем: "&amp;Source!I37&amp;"=1/"&amp;"100"</f>
        <v>Объем: 0,01=1/100</v>
      </c>
    </row>
    <row r="110" spans="1:26" ht="14.4">
      <c r="A110" s="27"/>
      <c r="B110" s="28"/>
      <c r="C110" s="25" t="s">
        <v>962</v>
      </c>
      <c r="D110" s="30"/>
      <c r="E110" s="10"/>
      <c r="F110" s="32">
        <f>Source!AO37</f>
        <v>408.86</v>
      </c>
      <c r="G110" s="31" t="str">
        <f>Source!DG37</f>
        <v/>
      </c>
      <c r="H110" s="33">
        <f>ROUND(Source!AF37*Source!I37, 0)</f>
        <v>4</v>
      </c>
      <c r="I110" s="31"/>
      <c r="J110" s="31">
        <f>IF(Source!BA37&lt;&gt; 0, Source!BA37, 1)</f>
        <v>20.88</v>
      </c>
      <c r="K110" s="33">
        <f>Source!S37</f>
        <v>85</v>
      </c>
      <c r="L110" s="34"/>
      <c r="R110">
        <f>H110</f>
        <v>4</v>
      </c>
    </row>
    <row r="111" spans="1:26" ht="14.4">
      <c r="A111" s="27"/>
      <c r="B111" s="28"/>
      <c r="C111" s="25" t="s">
        <v>125</v>
      </c>
      <c r="D111" s="30"/>
      <c r="E111" s="10"/>
      <c r="F111" s="32">
        <f>Source!AM37</f>
        <v>8.34</v>
      </c>
      <c r="G111" s="31" t="str">
        <f>Source!DE37</f>
        <v/>
      </c>
      <c r="H111" s="33">
        <f>ROUND(Source!AD37*Source!I37, 0)</f>
        <v>0</v>
      </c>
      <c r="I111" s="31"/>
      <c r="J111" s="31">
        <f>IF(Source!BB37&lt;&gt; 0, Source!BB37, 1)</f>
        <v>10.220000000000001</v>
      </c>
      <c r="K111" s="33">
        <f>Source!Q37</f>
        <v>1</v>
      </c>
      <c r="L111" s="34"/>
    </row>
    <row r="112" spans="1:26" ht="14.4">
      <c r="A112" s="27"/>
      <c r="B112" s="28"/>
      <c r="C112" s="25" t="s">
        <v>963</v>
      </c>
      <c r="D112" s="30"/>
      <c r="E112" s="10"/>
      <c r="F112" s="32">
        <f>Source!AN37</f>
        <v>3.15</v>
      </c>
      <c r="G112" s="31" t="str">
        <f>Source!DF37</f>
        <v/>
      </c>
      <c r="H112" s="33">
        <f>ROUND(Source!AE37*Source!I37, 0)</f>
        <v>0</v>
      </c>
      <c r="I112" s="31"/>
      <c r="J112" s="31">
        <f>IF(Source!BS37&lt;&gt; 0, Source!BS37, 1)</f>
        <v>20.88</v>
      </c>
      <c r="K112" s="33">
        <f>Source!R37</f>
        <v>1</v>
      </c>
      <c r="L112" s="34"/>
      <c r="R112">
        <f>H112</f>
        <v>0</v>
      </c>
    </row>
    <row r="113" spans="1:26" ht="14.4">
      <c r="A113" s="27"/>
      <c r="B113" s="28"/>
      <c r="C113" s="25" t="s">
        <v>964</v>
      </c>
      <c r="D113" s="30" t="s">
        <v>965</v>
      </c>
      <c r="E113" s="10">
        <f>Source!BZ37</f>
        <v>74</v>
      </c>
      <c r="F113" s="92" t="str">
        <f>CONCATENATE(" )", Source!DL37, Source!FT37, "=", Source!FX37)</f>
        <v xml:space="preserve"> )*0,7=51,8</v>
      </c>
      <c r="G113" s="90"/>
      <c r="H113" s="33">
        <f>SUM(S108:S115)</f>
        <v>2</v>
      </c>
      <c r="I113" s="35"/>
      <c r="J113" s="25">
        <f>Source!AT37</f>
        <v>52</v>
      </c>
      <c r="K113" s="33">
        <f>SUM(T108:T115)</f>
        <v>45</v>
      </c>
      <c r="L113" s="34"/>
    </row>
    <row r="114" spans="1:26" ht="14.4">
      <c r="A114" s="27"/>
      <c r="B114" s="28"/>
      <c r="C114" s="25" t="s">
        <v>966</v>
      </c>
      <c r="D114" s="30" t="s">
        <v>965</v>
      </c>
      <c r="E114" s="10">
        <f>Source!CA37</f>
        <v>50</v>
      </c>
      <c r="F114" s="92" t="str">
        <f>CONCATENATE(" )", Source!DM37, Source!FU37, "=", Source!FY37)</f>
        <v xml:space="preserve"> )*0,9=45</v>
      </c>
      <c r="G114" s="90"/>
      <c r="H114" s="33">
        <f>SUM(U108:U115)</f>
        <v>2</v>
      </c>
      <c r="I114" s="35"/>
      <c r="J114" s="25">
        <f>Source!AU37</f>
        <v>45</v>
      </c>
      <c r="K114" s="33">
        <f>SUM(V108:V115)</f>
        <v>39</v>
      </c>
      <c r="L114" s="34"/>
    </row>
    <row r="115" spans="1:26" ht="14.4">
      <c r="A115" s="39"/>
      <c r="B115" s="40"/>
      <c r="C115" s="41" t="s">
        <v>967</v>
      </c>
      <c r="D115" s="42" t="s">
        <v>968</v>
      </c>
      <c r="E115" s="43">
        <f>Source!AQ37</f>
        <v>51.3</v>
      </c>
      <c r="F115" s="44"/>
      <c r="G115" s="45" t="str">
        <f>Source!DI37</f>
        <v/>
      </c>
      <c r="H115" s="46"/>
      <c r="I115" s="45"/>
      <c r="J115" s="45"/>
      <c r="K115" s="46"/>
      <c r="L115" s="47">
        <f>Source!U37</f>
        <v>0.51300000000000001</v>
      </c>
    </row>
    <row r="116" spans="1:26" ht="13.8">
      <c r="G116" s="93">
        <f>ROUND(Source!AC37*Source!I37, 0)+ROUND(Source!AF37*Source!I37, 0)+ROUND(Source!AD37*Source!I37, 0)+SUM(H113:H114)</f>
        <v>8</v>
      </c>
      <c r="H116" s="93"/>
      <c r="J116" s="93">
        <f>Source!O37+SUM(K113:K114)</f>
        <v>170</v>
      </c>
      <c r="K116" s="93"/>
      <c r="L116" s="38">
        <f>Source!U37</f>
        <v>0.51300000000000001</v>
      </c>
      <c r="O116" s="37">
        <f>G116</f>
        <v>8</v>
      </c>
      <c r="P116" s="37">
        <f>J116</f>
        <v>170</v>
      </c>
      <c r="Q116" s="48">
        <f>L116</f>
        <v>0.51300000000000001</v>
      </c>
      <c r="W116">
        <f>IF(Source!BI37&lt;=1,G116, 0)</f>
        <v>8</v>
      </c>
      <c r="X116">
        <f>IF(Source!BI37=2,G116, 0)</f>
        <v>0</v>
      </c>
      <c r="Y116">
        <f>IF(Source!BI37=3,G116, 0)</f>
        <v>0</v>
      </c>
      <c r="Z116">
        <f>IF(Source!BI37=4,G116, 0)</f>
        <v>0</v>
      </c>
    </row>
    <row r="117" spans="1:26" ht="43.2">
      <c r="A117" s="27" t="str">
        <f>Source!E38</f>
        <v>11</v>
      </c>
      <c r="B117" s="28" t="str">
        <f>Source!F38</f>
        <v>46-03-010-2</v>
      </c>
      <c r="C117" s="25" t="str">
        <f>Source!G38</f>
        <v>Пробивка в бетонных стенах и полах толщиной 100 мм отверстий площадью до 100 см2</v>
      </c>
      <c r="D117" s="30" t="str">
        <f>Source!H38</f>
        <v>100 отверстий</v>
      </c>
      <c r="E117" s="10">
        <f>Source!I38</f>
        <v>0.01</v>
      </c>
      <c r="F117" s="32">
        <f>IF(Source!AK38&lt;&gt; 0, Source!AK38,Source!AL38 + Source!AM38 + Source!AO38)</f>
        <v>879.18</v>
      </c>
      <c r="G117" s="31"/>
      <c r="H117" s="33"/>
      <c r="I117" s="31" t="str">
        <f>Source!BO38</f>
        <v>46-03-010-2</v>
      </c>
      <c r="J117" s="31"/>
      <c r="K117" s="33"/>
      <c r="L117" s="34"/>
      <c r="S117">
        <f>ROUND((Source!FX38/100)*((ROUND(Source!AF38*Source!I38, 0)+ROUND(Source!AE38*Source!I38, 0))), 0)</f>
        <v>6</v>
      </c>
      <c r="T117">
        <f>Source!X38</f>
        <v>110</v>
      </c>
      <c r="U117">
        <f>ROUND((Source!FY38/100)*((ROUND(Source!AF38*Source!I38, 0)+ROUND(Source!AE38*Source!I38, 0))), 0)</f>
        <v>4</v>
      </c>
      <c r="V117">
        <f>Source!Y38</f>
        <v>86</v>
      </c>
    </row>
    <row r="118" spans="1:26">
      <c r="C118" s="49" t="str">
        <f>"Объем: "&amp;Source!I38&amp;"=1/"&amp;"100"</f>
        <v>Объем: 0,01=1/100</v>
      </c>
    </row>
    <row r="119" spans="1:26" ht="14.4">
      <c r="A119" s="27"/>
      <c r="B119" s="28"/>
      <c r="C119" s="25" t="s">
        <v>962</v>
      </c>
      <c r="D119" s="30"/>
      <c r="E119" s="10"/>
      <c r="F119" s="32">
        <f>Source!AO38</f>
        <v>314.97000000000003</v>
      </c>
      <c r="G119" s="31" t="str">
        <f>Source!DG38</f>
        <v>)*1,1)*1,75</v>
      </c>
      <c r="H119" s="33">
        <f>ROUND(Source!AF38*Source!I38, 0)</f>
        <v>6</v>
      </c>
      <c r="I119" s="31"/>
      <c r="J119" s="31">
        <f>IF(Source!BA38&lt;&gt; 0, Source!BA38, 1)</f>
        <v>20.88</v>
      </c>
      <c r="K119" s="33">
        <f>Source!S38</f>
        <v>127</v>
      </c>
      <c r="L119" s="34"/>
      <c r="R119">
        <f>H119</f>
        <v>6</v>
      </c>
    </row>
    <row r="120" spans="1:26" ht="14.4">
      <c r="A120" s="27"/>
      <c r="B120" s="28"/>
      <c r="C120" s="25" t="s">
        <v>125</v>
      </c>
      <c r="D120" s="30"/>
      <c r="E120" s="10"/>
      <c r="F120" s="32">
        <f>Source!AM38</f>
        <v>564.21</v>
      </c>
      <c r="G120" s="31" t="str">
        <f>Source!DE38</f>
        <v>)*1,1)*1,75</v>
      </c>
      <c r="H120" s="33">
        <f>ROUND(Source!AD38*Source!I38, 0)</f>
        <v>11</v>
      </c>
      <c r="I120" s="31"/>
      <c r="J120" s="31">
        <f>IF(Source!BB38&lt;&gt; 0, Source!BB38, 1)</f>
        <v>9.6</v>
      </c>
      <c r="K120" s="33">
        <f>Source!Q38</f>
        <v>104</v>
      </c>
      <c r="L120" s="34"/>
    </row>
    <row r="121" spans="1:26" ht="14.4">
      <c r="A121" s="27"/>
      <c r="B121" s="28"/>
      <c r="C121" s="25" t="s">
        <v>963</v>
      </c>
      <c r="D121" s="30"/>
      <c r="E121" s="10"/>
      <c r="F121" s="32">
        <f>Source!AN38</f>
        <v>80.91</v>
      </c>
      <c r="G121" s="31" t="str">
        <f>Source!DF38</f>
        <v>)*1,1)*1,75</v>
      </c>
      <c r="H121" s="33">
        <f>ROUND(Source!AE38*Source!I38, 0)</f>
        <v>2</v>
      </c>
      <c r="I121" s="31"/>
      <c r="J121" s="31">
        <f>IF(Source!BS38&lt;&gt; 0, Source!BS38, 1)</f>
        <v>20.88</v>
      </c>
      <c r="K121" s="33">
        <f>Source!R38</f>
        <v>33</v>
      </c>
      <c r="L121" s="34"/>
      <c r="R121">
        <f>H121</f>
        <v>2</v>
      </c>
    </row>
    <row r="122" spans="1:26" ht="14.4">
      <c r="A122" s="27"/>
      <c r="B122" s="28"/>
      <c r="C122" s="25" t="s">
        <v>964</v>
      </c>
      <c r="D122" s="30" t="s">
        <v>965</v>
      </c>
      <c r="E122" s="10">
        <f>Source!BZ38</f>
        <v>110</v>
      </c>
      <c r="F122" s="92" t="str">
        <f>CONCATENATE(" )", Source!DL38, Source!FT38, "=", Source!FX38)</f>
        <v xml:space="preserve"> )*0,9*0,7=69,3</v>
      </c>
      <c r="G122" s="90"/>
      <c r="H122" s="33">
        <f>SUM(S117:S124)</f>
        <v>6</v>
      </c>
      <c r="I122" s="35"/>
      <c r="J122" s="25">
        <f>Source!AT38</f>
        <v>69</v>
      </c>
      <c r="K122" s="33">
        <f>SUM(T117:T124)</f>
        <v>110</v>
      </c>
      <c r="L122" s="34"/>
    </row>
    <row r="123" spans="1:26" ht="14.4">
      <c r="A123" s="27"/>
      <c r="B123" s="28"/>
      <c r="C123" s="25" t="s">
        <v>966</v>
      </c>
      <c r="D123" s="30" t="s">
        <v>965</v>
      </c>
      <c r="E123" s="10">
        <f>Source!CA38</f>
        <v>70</v>
      </c>
      <c r="F123" s="92" t="str">
        <f>CONCATENATE(" )", Source!DM38, Source!FU38, "=", Source!FY38)</f>
        <v xml:space="preserve"> )*0,85*0,9=53,55</v>
      </c>
      <c r="G123" s="90"/>
      <c r="H123" s="33">
        <f>SUM(U117:U124)</f>
        <v>4</v>
      </c>
      <c r="I123" s="35"/>
      <c r="J123" s="25">
        <f>Source!AU38</f>
        <v>54</v>
      </c>
      <c r="K123" s="33">
        <f>SUM(V117:V124)</f>
        <v>86</v>
      </c>
      <c r="L123" s="34"/>
    </row>
    <row r="124" spans="1:26" ht="14.4">
      <c r="A124" s="39"/>
      <c r="B124" s="40"/>
      <c r="C124" s="41" t="s">
        <v>967</v>
      </c>
      <c r="D124" s="42" t="s">
        <v>968</v>
      </c>
      <c r="E124" s="43">
        <f>Source!AQ38</f>
        <v>35.43</v>
      </c>
      <c r="F124" s="44"/>
      <c r="G124" s="45" t="str">
        <f>Source!DI38</f>
        <v>)*1,1)*1,75</v>
      </c>
      <c r="H124" s="46"/>
      <c r="I124" s="45"/>
      <c r="J124" s="45"/>
      <c r="K124" s="46"/>
      <c r="L124" s="47">
        <f>Source!U38</f>
        <v>0.68202750000000012</v>
      </c>
    </row>
    <row r="125" spans="1:26" ht="13.8">
      <c r="G125" s="93">
        <f>ROUND(Source!AC38*Source!I38, 0)+ROUND(Source!AF38*Source!I38, 0)+ROUND(Source!AD38*Source!I38, 0)+SUM(H122:H123)</f>
        <v>27</v>
      </c>
      <c r="H125" s="93"/>
      <c r="J125" s="93">
        <f>Source!O38+SUM(K122:K123)</f>
        <v>427</v>
      </c>
      <c r="K125" s="93"/>
      <c r="L125" s="38">
        <f>Source!U38</f>
        <v>0.68202750000000012</v>
      </c>
      <c r="O125" s="37">
        <f>G125</f>
        <v>27</v>
      </c>
      <c r="P125" s="37">
        <f>J125</f>
        <v>427</v>
      </c>
      <c r="Q125" s="48">
        <f>L125</f>
        <v>0.68202750000000012</v>
      </c>
      <c r="W125">
        <f>IF(Source!BI38&lt;=1,G125, 0)</f>
        <v>27</v>
      </c>
      <c r="X125">
        <f>IF(Source!BI38=2,G125, 0)</f>
        <v>0</v>
      </c>
      <c r="Y125">
        <f>IF(Source!BI38=3,G125, 0)</f>
        <v>0</v>
      </c>
      <c r="Z125">
        <f>IF(Source!BI38=4,G125, 0)</f>
        <v>0</v>
      </c>
    </row>
    <row r="126" spans="1:26" ht="115.2">
      <c r="A126" s="27" t="str">
        <f>Source!E39</f>
        <v>12</v>
      </c>
      <c r="B126" s="28" t="str">
        <f>Source!F39</f>
        <v>65-8-2</v>
      </c>
      <c r="C126" s="25" t="str">
        <f>Source!G39</f>
        <v>Смена трубопроводов из полиэтиленовых канализационных труб диаметром до 100 мм</v>
      </c>
      <c r="D126" s="30" t="str">
        <f>Source!H39</f>
        <v>100 М ТРУБОПРОВОДА С ФАСОННЫМИ ЧАСТЯМИ</v>
      </c>
      <c r="E126" s="10">
        <f>Source!I39</f>
        <v>0.04</v>
      </c>
      <c r="F126" s="32">
        <f>IF(Source!AK39&lt;&gt; 0, Source!AK39,Source!AL39 + Source!AM39 + Source!AO39)</f>
        <v>12627.43</v>
      </c>
      <c r="G126" s="31"/>
      <c r="H126" s="33"/>
      <c r="I126" s="31" t="str">
        <f>Source!BO39</f>
        <v>65-8-2</v>
      </c>
      <c r="J126" s="31"/>
      <c r="K126" s="33"/>
      <c r="L126" s="34"/>
      <c r="S126">
        <f>ROUND((Source!FX39/100)*((ROUND(Source!AF39*Source!I39, 0)+ROUND(Source!AE39*Source!I39, 0))), 0)</f>
        <v>17</v>
      </c>
      <c r="T126">
        <f>Source!X39</f>
        <v>346</v>
      </c>
      <c r="U126">
        <f>ROUND((Source!FY39/100)*((ROUND(Source!AF39*Source!I39, 0)+ROUND(Source!AE39*Source!I39, 0))), 0)</f>
        <v>12</v>
      </c>
      <c r="V126">
        <f>Source!Y39</f>
        <v>260</v>
      </c>
    </row>
    <row r="127" spans="1:26">
      <c r="C127" s="49" t="str">
        <f>"Объем: "&amp;Source!I39&amp;"=4/"&amp;"100"</f>
        <v>Объем: 0,04=4/100</v>
      </c>
    </row>
    <row r="128" spans="1:26" ht="14.4">
      <c r="A128" s="27"/>
      <c r="B128" s="28"/>
      <c r="C128" s="25" t="s">
        <v>962</v>
      </c>
      <c r="D128" s="30"/>
      <c r="E128" s="10"/>
      <c r="F128" s="32">
        <f>Source!AO39</f>
        <v>573.80999999999995</v>
      </c>
      <c r="G128" s="31" t="str">
        <f>Source!DG39</f>
        <v/>
      </c>
      <c r="H128" s="33">
        <f>ROUND(Source!AF39*Source!I39, 0)</f>
        <v>23</v>
      </c>
      <c r="I128" s="31"/>
      <c r="J128" s="31">
        <f>IF(Source!BA39&lt;&gt; 0, Source!BA39, 1)</f>
        <v>20.88</v>
      </c>
      <c r="K128" s="33">
        <f>Source!S39</f>
        <v>479</v>
      </c>
      <c r="L128" s="34"/>
      <c r="R128">
        <f>H128</f>
        <v>23</v>
      </c>
    </row>
    <row r="129" spans="1:26" ht="14.4">
      <c r="A129" s="27"/>
      <c r="B129" s="28"/>
      <c r="C129" s="25" t="s">
        <v>125</v>
      </c>
      <c r="D129" s="30"/>
      <c r="E129" s="10"/>
      <c r="F129" s="32">
        <f>Source!AM39</f>
        <v>24.77</v>
      </c>
      <c r="G129" s="31" t="str">
        <f>Source!DE39</f>
        <v/>
      </c>
      <c r="H129" s="33">
        <f>ROUND(Source!AD39*Source!I39, 0)</f>
        <v>1</v>
      </c>
      <c r="I129" s="31"/>
      <c r="J129" s="31">
        <f>IF(Source!BB39&lt;&gt; 0, Source!BB39, 1)</f>
        <v>9.4600000000000009</v>
      </c>
      <c r="K129" s="33">
        <f>Source!Q39</f>
        <v>9</v>
      </c>
      <c r="L129" s="34"/>
    </row>
    <row r="130" spans="1:26" ht="14.4">
      <c r="A130" s="27"/>
      <c r="B130" s="28"/>
      <c r="C130" s="25" t="s">
        <v>963</v>
      </c>
      <c r="D130" s="30"/>
      <c r="E130" s="10"/>
      <c r="F130" s="32">
        <f>Source!AN39</f>
        <v>2.42</v>
      </c>
      <c r="G130" s="31" t="str">
        <f>Source!DF39</f>
        <v/>
      </c>
      <c r="H130" s="33">
        <f>ROUND(Source!AE39*Source!I39, 0)</f>
        <v>0</v>
      </c>
      <c r="I130" s="31"/>
      <c r="J130" s="31">
        <f>IF(Source!BS39&lt;&gt; 0, Source!BS39, 1)</f>
        <v>20.88</v>
      </c>
      <c r="K130" s="33">
        <f>Source!R39</f>
        <v>2</v>
      </c>
      <c r="L130" s="34"/>
      <c r="R130">
        <f>H130</f>
        <v>0</v>
      </c>
    </row>
    <row r="131" spans="1:26" ht="14.4">
      <c r="A131" s="27"/>
      <c r="B131" s="28"/>
      <c r="C131" s="25" t="s">
        <v>969</v>
      </c>
      <c r="D131" s="30"/>
      <c r="E131" s="10"/>
      <c r="F131" s="32">
        <f>Source!AL39</f>
        <v>12028.85</v>
      </c>
      <c r="G131" s="31" t="str">
        <f>Source!DD39</f>
        <v/>
      </c>
      <c r="H131" s="33">
        <f>ROUND(Source!AC39*Source!I39, 0)</f>
        <v>481</v>
      </c>
      <c r="I131" s="31"/>
      <c r="J131" s="31">
        <f>IF(Source!BC39&lt;&gt; 0, Source!BC39, 1)</f>
        <v>3.2</v>
      </c>
      <c r="K131" s="33">
        <f>Source!P39</f>
        <v>1540</v>
      </c>
      <c r="L131" s="34"/>
    </row>
    <row r="132" spans="1:26" ht="14.4">
      <c r="A132" s="27"/>
      <c r="B132" s="28"/>
      <c r="C132" s="25" t="s">
        <v>964</v>
      </c>
      <c r="D132" s="30" t="s">
        <v>965</v>
      </c>
      <c r="E132" s="10">
        <f>Source!BZ39</f>
        <v>103</v>
      </c>
      <c r="F132" s="92" t="str">
        <f>CONCATENATE(" )", Source!DL39, Source!FT39, "=", Source!FX39)</f>
        <v xml:space="preserve"> )*0,7=72,1</v>
      </c>
      <c r="G132" s="90"/>
      <c r="H132" s="33">
        <f>SUM(S126:S134)</f>
        <v>17</v>
      </c>
      <c r="I132" s="35"/>
      <c r="J132" s="25">
        <f>Source!AT39</f>
        <v>72</v>
      </c>
      <c r="K132" s="33">
        <f>SUM(T126:T134)</f>
        <v>346</v>
      </c>
      <c r="L132" s="34"/>
    </row>
    <row r="133" spans="1:26" ht="14.4">
      <c r="A133" s="27"/>
      <c r="B133" s="28"/>
      <c r="C133" s="25" t="s">
        <v>966</v>
      </c>
      <c r="D133" s="30" t="s">
        <v>965</v>
      </c>
      <c r="E133" s="10">
        <f>Source!CA39</f>
        <v>60</v>
      </c>
      <c r="F133" s="92" t="str">
        <f>CONCATENATE(" )", Source!DM39, Source!FU39, "=", Source!FY39)</f>
        <v xml:space="preserve"> )*0,9=54</v>
      </c>
      <c r="G133" s="90"/>
      <c r="H133" s="33">
        <f>SUM(U126:U134)</f>
        <v>12</v>
      </c>
      <c r="I133" s="35"/>
      <c r="J133" s="25">
        <f>Source!AU39</f>
        <v>54</v>
      </c>
      <c r="K133" s="33">
        <f>SUM(V126:V134)</f>
        <v>260</v>
      </c>
      <c r="L133" s="34"/>
    </row>
    <row r="134" spans="1:26" ht="14.4">
      <c r="A134" s="39"/>
      <c r="B134" s="40"/>
      <c r="C134" s="41" t="s">
        <v>967</v>
      </c>
      <c r="D134" s="42" t="s">
        <v>968</v>
      </c>
      <c r="E134" s="43">
        <f>Source!AQ39</f>
        <v>61.9</v>
      </c>
      <c r="F134" s="44"/>
      <c r="G134" s="45" t="str">
        <f>Source!DI39</f>
        <v/>
      </c>
      <c r="H134" s="46"/>
      <c r="I134" s="45"/>
      <c r="J134" s="45"/>
      <c r="K134" s="46"/>
      <c r="L134" s="47">
        <f>Source!U39</f>
        <v>2.476</v>
      </c>
    </row>
    <row r="135" spans="1:26" ht="13.8">
      <c r="G135" s="93">
        <f>ROUND(Source!AC39*Source!I39, 0)+ROUND(Source!AF39*Source!I39, 0)+ROUND(Source!AD39*Source!I39, 0)+SUM(H132:H133)</f>
        <v>534</v>
      </c>
      <c r="H135" s="93"/>
      <c r="J135" s="93">
        <f>Source!O39+SUM(K132:K133)</f>
        <v>2634</v>
      </c>
      <c r="K135" s="93"/>
      <c r="L135" s="38">
        <f>Source!U39</f>
        <v>2.476</v>
      </c>
      <c r="O135" s="37">
        <f>G135</f>
        <v>534</v>
      </c>
      <c r="P135" s="37">
        <f>J135</f>
        <v>2634</v>
      </c>
      <c r="Q135" s="48">
        <f>L135</f>
        <v>2.476</v>
      </c>
      <c r="W135">
        <f>IF(Source!BI39&lt;=1,G135, 0)</f>
        <v>534</v>
      </c>
      <c r="X135">
        <f>IF(Source!BI39=2,G135, 0)</f>
        <v>0</v>
      </c>
      <c r="Y135">
        <f>IF(Source!BI39=3,G135, 0)</f>
        <v>0</v>
      </c>
      <c r="Z135">
        <f>IF(Source!BI39=4,G135, 0)</f>
        <v>0</v>
      </c>
    </row>
    <row r="136" spans="1:26" ht="69.599999999999994">
      <c r="A136" s="27" t="str">
        <f>Source!E40</f>
        <v>13</v>
      </c>
      <c r="B136" s="28" t="str">
        <f>Source!F40</f>
        <v>16-04-002-3</v>
      </c>
      <c r="C136" s="25" t="str">
        <f>Source!G40</f>
        <v>Прокладка трубопроводов водоснабжения из напорных полиэтиленовых труб низкого давления среднего типа наружным диаметром 32 мм (ДЕМОНТАЖ)</v>
      </c>
      <c r="D136" s="30" t="str">
        <f>Source!H40</f>
        <v>100 м трубопровода</v>
      </c>
      <c r="E136" s="10">
        <f>Source!I40</f>
        <v>0.06</v>
      </c>
      <c r="F136" s="32">
        <f>IF(Source!AK40&lt;&gt; 0, Source!AK40,Source!AL40 + Source!AM40 + Source!AO40)</f>
        <v>2375.66</v>
      </c>
      <c r="G136" s="31"/>
      <c r="H136" s="33"/>
      <c r="I136" s="31" t="str">
        <f>Source!BO40</f>
        <v>16-04-002-3</v>
      </c>
      <c r="J136" s="31"/>
      <c r="K136" s="33"/>
      <c r="L136" s="34"/>
      <c r="S136">
        <f>ROUND((Source!FX40/100)*((ROUND(Source!AF40*Source!I40, 0)+ROUND(Source!AE40*Source!I40, 0))), 0)</f>
        <v>23</v>
      </c>
      <c r="T136">
        <f>Source!X40</f>
        <v>482</v>
      </c>
      <c r="U136">
        <f>ROUND((Source!FY40/100)*((ROUND(Source!AF40*Source!I40, 0)+ROUND(Source!AE40*Source!I40, 0))), 0)</f>
        <v>18</v>
      </c>
      <c r="V136">
        <f>Source!Y40</f>
        <v>375</v>
      </c>
    </row>
    <row r="137" spans="1:26">
      <c r="C137" s="49" t="str">
        <f>"Объем: "&amp;Source!I40&amp;"=6/"&amp;"100"</f>
        <v>Объем: 0,06=6/100</v>
      </c>
    </row>
    <row r="138" spans="1:26" ht="14.4">
      <c r="A138" s="27"/>
      <c r="B138" s="28"/>
      <c r="C138" s="25" t="s">
        <v>962</v>
      </c>
      <c r="D138" s="30"/>
      <c r="E138" s="10"/>
      <c r="F138" s="32">
        <f>Source!AO40</f>
        <v>1129.0899999999999</v>
      </c>
      <c r="G138" s="31" t="str">
        <f>Source!DG40</f>
        <v>)*0,4</v>
      </c>
      <c r="H138" s="33">
        <f>ROUND(Source!AF40*Source!I40, 0)</f>
        <v>27</v>
      </c>
      <c r="I138" s="31"/>
      <c r="J138" s="31">
        <f>IF(Source!BA40&lt;&gt; 0, Source!BA40, 1)</f>
        <v>20.88</v>
      </c>
      <c r="K138" s="33">
        <f>Source!S40</f>
        <v>566</v>
      </c>
      <c r="L138" s="34"/>
      <c r="R138">
        <f>H138</f>
        <v>27</v>
      </c>
    </row>
    <row r="139" spans="1:26" ht="14.4">
      <c r="A139" s="27"/>
      <c r="B139" s="28"/>
      <c r="C139" s="25" t="s">
        <v>125</v>
      </c>
      <c r="D139" s="30"/>
      <c r="E139" s="10"/>
      <c r="F139" s="32">
        <f>Source!AM40</f>
        <v>501.39</v>
      </c>
      <c r="G139" s="31" t="str">
        <f>Source!DE40</f>
        <v>)*0,4</v>
      </c>
      <c r="H139" s="33">
        <f>ROUND(Source!AD40*Source!I40, 0)</f>
        <v>12</v>
      </c>
      <c r="I139" s="31"/>
      <c r="J139" s="31">
        <f>IF(Source!BB40&lt;&gt; 0, Source!BB40, 1)</f>
        <v>7.82</v>
      </c>
      <c r="K139" s="33">
        <f>Source!Q40</f>
        <v>94</v>
      </c>
      <c r="L139" s="34"/>
    </row>
    <row r="140" spans="1:26" ht="14.4">
      <c r="A140" s="27"/>
      <c r="B140" s="28"/>
      <c r="C140" s="25" t="s">
        <v>963</v>
      </c>
      <c r="D140" s="30"/>
      <c r="E140" s="10"/>
      <c r="F140" s="32">
        <f>Source!AN40</f>
        <v>57.11</v>
      </c>
      <c r="G140" s="31" t="str">
        <f>Source!DF40</f>
        <v>)*0,4</v>
      </c>
      <c r="H140" s="33">
        <f>ROUND(Source!AE40*Source!I40, 0)</f>
        <v>1</v>
      </c>
      <c r="I140" s="31"/>
      <c r="J140" s="31">
        <f>IF(Source!BS40&lt;&gt; 0, Source!BS40, 1)</f>
        <v>20.88</v>
      </c>
      <c r="K140" s="33">
        <f>Source!R40</f>
        <v>29</v>
      </c>
      <c r="L140" s="34"/>
      <c r="R140">
        <f>H140</f>
        <v>1</v>
      </c>
    </row>
    <row r="141" spans="1:26" ht="14.4">
      <c r="A141" s="27"/>
      <c r="B141" s="28"/>
      <c r="C141" s="25" t="s">
        <v>964</v>
      </c>
      <c r="D141" s="30" t="s">
        <v>965</v>
      </c>
      <c r="E141" s="10">
        <f>Source!BZ40</f>
        <v>128</v>
      </c>
      <c r="F141" s="92" t="str">
        <f>CONCATENATE(" )", Source!DL40, Source!FT40, "=", Source!FX40)</f>
        <v xml:space="preserve"> )*0,9*0,7=80,64</v>
      </c>
      <c r="G141" s="90"/>
      <c r="H141" s="33">
        <f>SUM(S136:S143)</f>
        <v>23</v>
      </c>
      <c r="I141" s="35"/>
      <c r="J141" s="25">
        <f>Source!AT40</f>
        <v>81</v>
      </c>
      <c r="K141" s="33">
        <f>SUM(T136:T143)</f>
        <v>482</v>
      </c>
      <c r="L141" s="34"/>
    </row>
    <row r="142" spans="1:26" ht="14.4">
      <c r="A142" s="27"/>
      <c r="B142" s="28"/>
      <c r="C142" s="25" t="s">
        <v>966</v>
      </c>
      <c r="D142" s="30" t="s">
        <v>965</v>
      </c>
      <c r="E142" s="10">
        <f>Source!CA40</f>
        <v>83</v>
      </c>
      <c r="F142" s="92" t="str">
        <f>CONCATENATE(" )", Source!DM40, Source!FU40, "=", Source!FY40)</f>
        <v xml:space="preserve"> )*0,85*0,9=63,495</v>
      </c>
      <c r="G142" s="90"/>
      <c r="H142" s="33">
        <f>SUM(U136:U143)</f>
        <v>18</v>
      </c>
      <c r="I142" s="35"/>
      <c r="J142" s="25">
        <f>Source!AU40</f>
        <v>63</v>
      </c>
      <c r="K142" s="33">
        <f>SUM(V136:V143)</f>
        <v>375</v>
      </c>
      <c r="L142" s="34"/>
    </row>
    <row r="143" spans="1:26" ht="14.4">
      <c r="A143" s="39"/>
      <c r="B143" s="40"/>
      <c r="C143" s="41" t="s">
        <v>967</v>
      </c>
      <c r="D143" s="42" t="s">
        <v>968</v>
      </c>
      <c r="E143" s="43">
        <f>Source!AQ40</f>
        <v>121.8</v>
      </c>
      <c r="F143" s="44"/>
      <c r="G143" s="45" t="str">
        <f>Source!DI40</f>
        <v>)*0,4</v>
      </c>
      <c r="H143" s="46"/>
      <c r="I143" s="45"/>
      <c r="J143" s="45"/>
      <c r="K143" s="46"/>
      <c r="L143" s="47">
        <f>Source!U40</f>
        <v>2.9232</v>
      </c>
    </row>
    <row r="144" spans="1:26" ht="13.8">
      <c r="G144" s="93">
        <f>ROUND(Source!AC40*Source!I40, 0)+ROUND(Source!AF40*Source!I40, 0)+ROUND(Source!AD40*Source!I40, 0)+SUM(H141:H142)</f>
        <v>80</v>
      </c>
      <c r="H144" s="93"/>
      <c r="J144" s="93">
        <f>Source!O40+SUM(K141:K142)</f>
        <v>1517</v>
      </c>
      <c r="K144" s="93"/>
      <c r="L144" s="38">
        <f>Source!U40</f>
        <v>2.9232</v>
      </c>
      <c r="O144" s="37">
        <f>G144</f>
        <v>80</v>
      </c>
      <c r="P144" s="37">
        <f>J144</f>
        <v>1517</v>
      </c>
      <c r="Q144" s="48">
        <f>L144</f>
        <v>2.9232</v>
      </c>
      <c r="W144">
        <f>IF(Source!BI40&lt;=1,G144, 0)</f>
        <v>80</v>
      </c>
      <c r="X144">
        <f>IF(Source!BI40=2,G144, 0)</f>
        <v>0</v>
      </c>
      <c r="Y144">
        <f>IF(Source!BI40=3,G144, 0)</f>
        <v>0</v>
      </c>
      <c r="Z144">
        <f>IF(Source!BI40=4,G144, 0)</f>
        <v>0</v>
      </c>
    </row>
    <row r="146" spans="1:33" ht="13.8">
      <c r="A146" s="96" t="str">
        <f>CONCATENATE("Итого по разделу: ", Source!G42)</f>
        <v>Итого по разделу: Демонтажные работы</v>
      </c>
      <c r="B146" s="96"/>
      <c r="C146" s="96"/>
      <c r="D146" s="96"/>
      <c r="E146" s="96"/>
      <c r="F146" s="96"/>
      <c r="G146" s="93">
        <f>SUM(O31:O145)</f>
        <v>1325</v>
      </c>
      <c r="H146" s="84"/>
      <c r="I146" s="50"/>
      <c r="J146" s="93">
        <f>SUM(P31:P145)</f>
        <v>16800</v>
      </c>
      <c r="K146" s="84"/>
      <c r="L146" s="38">
        <f>SUM(Q31:Q145)</f>
        <v>36.502629500000005</v>
      </c>
      <c r="AG146" s="51" t="str">
        <f>CONCATENATE("Итого по разделу: ", Source!G42)</f>
        <v>Итого по разделу: Демонтажные работы</v>
      </c>
    </row>
    <row r="148" spans="1:33" ht="13.8">
      <c r="C148" s="25" t="str">
        <f>Source!H70</f>
        <v>Итого</v>
      </c>
      <c r="J148" s="97">
        <f>Source!F70</f>
        <v>16800</v>
      </c>
      <c r="K148" s="97"/>
    </row>
    <row r="151" spans="1:33" ht="16.8">
      <c r="A151" s="95" t="str">
        <f>CONCATENATE("Раздел: ", Source!G72)</f>
        <v>Раздел: Отделочные работы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AE151" s="26" t="str">
        <f>CONCATENATE("Раздел: ", Source!G72)</f>
        <v>Раздел: Отделочные работы</v>
      </c>
    </row>
    <row r="152" spans="1:33" ht="69.599999999999994">
      <c r="A152" s="27" t="str">
        <f>Source!E76</f>
        <v>14</v>
      </c>
      <c r="B152" s="28" t="str">
        <f>Source!F76</f>
        <v>16-04-002-3</v>
      </c>
      <c r="C152" s="25" t="str">
        <f>Source!G76</f>
        <v>Прокладка трубопроводов водоснабжения из напорных полиэтиленовых труб низкого давления среднего типа наружным диаметром 32 мм</v>
      </c>
      <c r="D152" s="30" t="str">
        <f>Source!H76</f>
        <v>100 м трубопровода</v>
      </c>
      <c r="E152" s="10">
        <f>Source!I76</f>
        <v>0.08</v>
      </c>
      <c r="F152" s="32">
        <f>IF(Source!AK76&lt;&gt; 0, Source!AK76,Source!AL76 + Source!AM76 + Source!AO76)</f>
        <v>2375.66</v>
      </c>
      <c r="G152" s="31"/>
      <c r="H152" s="33"/>
      <c r="I152" s="31" t="str">
        <f>Source!BO76</f>
        <v>16-04-002-3</v>
      </c>
      <c r="J152" s="31"/>
      <c r="K152" s="33"/>
      <c r="L152" s="34"/>
      <c r="S152">
        <f>ROUND((Source!FX76/100)*((ROUND(Source!AF76*Source!I76, 0)+ROUND(Source!AE76*Source!I76, 0))), 0)</f>
        <v>89</v>
      </c>
      <c r="T152">
        <f>Source!X76</f>
        <v>1853</v>
      </c>
      <c r="U152">
        <f>ROUND((Source!FY76/100)*((ROUND(Source!AF76*Source!I76, 0)+ROUND(Source!AE76*Source!I76, 0))), 0)</f>
        <v>70</v>
      </c>
      <c r="V152">
        <f>Source!Y76</f>
        <v>1441</v>
      </c>
    </row>
    <row r="153" spans="1:33">
      <c r="C153" s="49" t="str">
        <f>"Объем: "&amp;Source!I76&amp;"=8/"&amp;"100"</f>
        <v>Объем: 0,08=8/100</v>
      </c>
    </row>
    <row r="154" spans="1:33" ht="14.4">
      <c r="A154" s="27"/>
      <c r="B154" s="28"/>
      <c r="C154" s="25" t="s">
        <v>962</v>
      </c>
      <c r="D154" s="30"/>
      <c r="E154" s="10"/>
      <c r="F154" s="32">
        <f>Source!AO76</f>
        <v>1129.0899999999999</v>
      </c>
      <c r="G154" s="31" t="str">
        <f>Source!DG76</f>
        <v>)*1,15</v>
      </c>
      <c r="H154" s="33">
        <f>ROUND(Source!AF76*Source!I76, 0)</f>
        <v>104</v>
      </c>
      <c r="I154" s="31"/>
      <c r="J154" s="31">
        <f>IF(Source!BA76&lt;&gt; 0, Source!BA76, 1)</f>
        <v>20.88</v>
      </c>
      <c r="K154" s="33">
        <f>Source!S76</f>
        <v>2169</v>
      </c>
      <c r="L154" s="34"/>
      <c r="R154">
        <f>H154</f>
        <v>104</v>
      </c>
    </row>
    <row r="155" spans="1:33" ht="14.4">
      <c r="A155" s="27"/>
      <c r="B155" s="28"/>
      <c r="C155" s="25" t="s">
        <v>125</v>
      </c>
      <c r="D155" s="30"/>
      <c r="E155" s="10"/>
      <c r="F155" s="32">
        <f>Source!AM76</f>
        <v>501.39</v>
      </c>
      <c r="G155" s="31" t="str">
        <f>Source!DE76</f>
        <v>)*1,25</v>
      </c>
      <c r="H155" s="33">
        <f>ROUND(Source!AD76*Source!I76, 0)</f>
        <v>50</v>
      </c>
      <c r="I155" s="31"/>
      <c r="J155" s="31">
        <f>IF(Source!BB76&lt;&gt; 0, Source!BB76, 1)</f>
        <v>7.82</v>
      </c>
      <c r="K155" s="33">
        <f>Source!Q76</f>
        <v>392</v>
      </c>
      <c r="L155" s="34"/>
    </row>
    <row r="156" spans="1:33" ht="14.4">
      <c r="A156" s="27"/>
      <c r="B156" s="28"/>
      <c r="C156" s="25" t="s">
        <v>963</v>
      </c>
      <c r="D156" s="30"/>
      <c r="E156" s="10"/>
      <c r="F156" s="32">
        <f>Source!AN76</f>
        <v>57.11</v>
      </c>
      <c r="G156" s="31" t="str">
        <f>Source!DF76</f>
        <v>)*1,25</v>
      </c>
      <c r="H156" s="33">
        <f>ROUND(Source!AE76*Source!I76, 0)</f>
        <v>6</v>
      </c>
      <c r="I156" s="31"/>
      <c r="J156" s="31">
        <f>IF(Source!BS76&lt;&gt; 0, Source!BS76, 1)</f>
        <v>20.88</v>
      </c>
      <c r="K156" s="33">
        <f>Source!R76</f>
        <v>119</v>
      </c>
      <c r="L156" s="34"/>
      <c r="R156">
        <f>H156</f>
        <v>6</v>
      </c>
    </row>
    <row r="157" spans="1:33" ht="14.4">
      <c r="A157" s="27"/>
      <c r="B157" s="28"/>
      <c r="C157" s="25" t="s">
        <v>969</v>
      </c>
      <c r="D157" s="30"/>
      <c r="E157" s="10"/>
      <c r="F157" s="32">
        <f>Source!AL76</f>
        <v>745.18</v>
      </c>
      <c r="G157" s="31" t="str">
        <f>Source!DD76</f>
        <v/>
      </c>
      <c r="H157" s="33">
        <f>ROUND(Source!AC76*Source!I76, 0)</f>
        <v>60</v>
      </c>
      <c r="I157" s="31"/>
      <c r="J157" s="31">
        <f>IF(Source!BC76&lt;&gt; 0, Source!BC76, 1)</f>
        <v>3.54</v>
      </c>
      <c r="K157" s="33">
        <f>Source!P76</f>
        <v>211</v>
      </c>
      <c r="L157" s="34"/>
    </row>
    <row r="158" spans="1:33" ht="14.4">
      <c r="A158" s="27"/>
      <c r="B158" s="28"/>
      <c r="C158" s="25" t="s">
        <v>964</v>
      </c>
      <c r="D158" s="30" t="s">
        <v>965</v>
      </c>
      <c r="E158" s="10">
        <f>Source!BZ76</f>
        <v>128</v>
      </c>
      <c r="F158" s="92" t="str">
        <f>CONCATENATE(" )", Source!DL76, Source!FT76, "=", Source!FX76)</f>
        <v xml:space="preserve"> )*0,9*0,7=80,64</v>
      </c>
      <c r="G158" s="90"/>
      <c r="H158" s="33">
        <f>SUM(S152:S160)</f>
        <v>89</v>
      </c>
      <c r="I158" s="35"/>
      <c r="J158" s="25">
        <f>Source!AT76</f>
        <v>81</v>
      </c>
      <c r="K158" s="33">
        <f>SUM(T152:T160)</f>
        <v>1853</v>
      </c>
      <c r="L158" s="34"/>
    </row>
    <row r="159" spans="1:33" ht="14.4">
      <c r="A159" s="27"/>
      <c r="B159" s="28"/>
      <c r="C159" s="25" t="s">
        <v>966</v>
      </c>
      <c r="D159" s="30" t="s">
        <v>965</v>
      </c>
      <c r="E159" s="10">
        <f>Source!CA76</f>
        <v>83</v>
      </c>
      <c r="F159" s="92" t="str">
        <f>CONCATENATE(" )", Source!DM76, Source!FU76, "=", Source!FY76)</f>
        <v xml:space="preserve"> )*0,85*0,9=63,495</v>
      </c>
      <c r="G159" s="90"/>
      <c r="H159" s="33">
        <f>SUM(U152:U160)</f>
        <v>70</v>
      </c>
      <c r="I159" s="35"/>
      <c r="J159" s="25">
        <f>Source!AU76</f>
        <v>63</v>
      </c>
      <c r="K159" s="33">
        <f>SUM(V152:V160)</f>
        <v>1441</v>
      </c>
      <c r="L159" s="34"/>
    </row>
    <row r="160" spans="1:33" ht="14.4">
      <c r="A160" s="39"/>
      <c r="B160" s="40"/>
      <c r="C160" s="41" t="s">
        <v>967</v>
      </c>
      <c r="D160" s="42" t="s">
        <v>968</v>
      </c>
      <c r="E160" s="43">
        <f>Source!AQ76</f>
        <v>121.8</v>
      </c>
      <c r="F160" s="44"/>
      <c r="G160" s="45" t="str">
        <f>Source!DI76</f>
        <v>)*1,15</v>
      </c>
      <c r="H160" s="46"/>
      <c r="I160" s="45"/>
      <c r="J160" s="45"/>
      <c r="K160" s="46"/>
      <c r="L160" s="47">
        <f>Source!U76</f>
        <v>11.2056</v>
      </c>
    </row>
    <row r="161" spans="1:26" ht="13.8">
      <c r="G161" s="93">
        <f>ROUND(Source!AC76*Source!I76, 0)+ROUND(Source!AF76*Source!I76, 0)+ROUND(Source!AD76*Source!I76, 0)+SUM(H158:H159)</f>
        <v>373</v>
      </c>
      <c r="H161" s="93"/>
      <c r="J161" s="93">
        <f>Source!O76+SUM(K158:K159)</f>
        <v>6066</v>
      </c>
      <c r="K161" s="93"/>
      <c r="L161" s="38">
        <f>Source!U76</f>
        <v>11.2056</v>
      </c>
      <c r="O161" s="37">
        <f>G161</f>
        <v>373</v>
      </c>
      <c r="P161" s="37">
        <f>J161</f>
        <v>6066</v>
      </c>
      <c r="Q161" s="48">
        <f>L161</f>
        <v>11.2056</v>
      </c>
      <c r="W161">
        <f>IF(Source!BI76&lt;=1,G161, 0)</f>
        <v>373</v>
      </c>
      <c r="X161">
        <f>IF(Source!BI76=2,G161, 0)</f>
        <v>0</v>
      </c>
      <c r="Y161">
        <f>IF(Source!BI76=3,G161, 0)</f>
        <v>0</v>
      </c>
      <c r="Z161">
        <f>IF(Source!BI76=4,G161, 0)</f>
        <v>0</v>
      </c>
    </row>
    <row r="162" spans="1:26" ht="115.2">
      <c r="A162" s="27" t="str">
        <f>Source!E77</f>
        <v>15</v>
      </c>
      <c r="B162" s="28" t="str">
        <f>Source!F77</f>
        <v>65-8-2</v>
      </c>
      <c r="C162" s="25" t="str">
        <f>Source!G77</f>
        <v>Смена трубопроводов из полиэтиленовых канализационных труб диаметром до 100 мм</v>
      </c>
      <c r="D162" s="30" t="str">
        <f>Source!H77</f>
        <v>100 М ТРУБОПРОВОДА С ФАСОННЫМИ ЧАСТЯМИ</v>
      </c>
      <c r="E162" s="10">
        <f>Source!I77</f>
        <v>0.04</v>
      </c>
      <c r="F162" s="32">
        <f>IF(Source!AK77&lt;&gt; 0, Source!AK77,Source!AL77 + Source!AM77 + Source!AO77)</f>
        <v>12627.43</v>
      </c>
      <c r="G162" s="31"/>
      <c r="H162" s="33"/>
      <c r="I162" s="31" t="str">
        <f>Source!BO77</f>
        <v>65-8-2</v>
      </c>
      <c r="J162" s="31"/>
      <c r="K162" s="33"/>
      <c r="L162" s="34"/>
      <c r="S162">
        <f>ROUND((Source!FX77/100)*((ROUND(Source!AF77*Source!I77, 0)+ROUND(Source!AE77*Source!I77, 0))), 0)</f>
        <v>17</v>
      </c>
      <c r="T162">
        <f>Source!X77</f>
        <v>346</v>
      </c>
      <c r="U162">
        <f>ROUND((Source!FY77/100)*((ROUND(Source!AF77*Source!I77, 0)+ROUND(Source!AE77*Source!I77, 0))), 0)</f>
        <v>12</v>
      </c>
      <c r="V162">
        <f>Source!Y77</f>
        <v>260</v>
      </c>
    </row>
    <row r="163" spans="1:26">
      <c r="C163" s="49" t="str">
        <f>"Объем: "&amp;Source!I77&amp;"=4/"&amp;"100"</f>
        <v>Объем: 0,04=4/100</v>
      </c>
    </row>
    <row r="164" spans="1:26" ht="14.4">
      <c r="A164" s="27"/>
      <c r="B164" s="28"/>
      <c r="C164" s="25" t="s">
        <v>962</v>
      </c>
      <c r="D164" s="30"/>
      <c r="E164" s="10"/>
      <c r="F164" s="32">
        <f>Source!AO77</f>
        <v>573.80999999999995</v>
      </c>
      <c r="G164" s="31" t="str">
        <f>Source!DG77</f>
        <v/>
      </c>
      <c r="H164" s="33">
        <f>ROUND(Source!AF77*Source!I77, 0)</f>
        <v>23</v>
      </c>
      <c r="I164" s="31"/>
      <c r="J164" s="31">
        <f>IF(Source!BA77&lt;&gt; 0, Source!BA77, 1)</f>
        <v>20.88</v>
      </c>
      <c r="K164" s="33">
        <f>Source!S77</f>
        <v>479</v>
      </c>
      <c r="L164" s="34"/>
      <c r="R164">
        <f>H164</f>
        <v>23</v>
      </c>
    </row>
    <row r="165" spans="1:26" ht="14.4">
      <c r="A165" s="27"/>
      <c r="B165" s="28"/>
      <c r="C165" s="25" t="s">
        <v>125</v>
      </c>
      <c r="D165" s="30"/>
      <c r="E165" s="10"/>
      <c r="F165" s="32">
        <f>Source!AM77</f>
        <v>24.77</v>
      </c>
      <c r="G165" s="31" t="str">
        <f>Source!DE77</f>
        <v/>
      </c>
      <c r="H165" s="33">
        <f>ROUND(Source!AD77*Source!I77, 0)</f>
        <v>1</v>
      </c>
      <c r="I165" s="31"/>
      <c r="J165" s="31">
        <f>IF(Source!BB77&lt;&gt; 0, Source!BB77, 1)</f>
        <v>9.4600000000000009</v>
      </c>
      <c r="K165" s="33">
        <f>Source!Q77</f>
        <v>9</v>
      </c>
      <c r="L165" s="34"/>
    </row>
    <row r="166" spans="1:26" ht="14.4">
      <c r="A166" s="27"/>
      <c r="B166" s="28"/>
      <c r="C166" s="25" t="s">
        <v>963</v>
      </c>
      <c r="D166" s="30"/>
      <c r="E166" s="10"/>
      <c r="F166" s="32">
        <f>Source!AN77</f>
        <v>2.42</v>
      </c>
      <c r="G166" s="31" t="str">
        <f>Source!DF77</f>
        <v/>
      </c>
      <c r="H166" s="33">
        <f>ROUND(Source!AE77*Source!I77, 0)</f>
        <v>0</v>
      </c>
      <c r="I166" s="31"/>
      <c r="J166" s="31">
        <f>IF(Source!BS77&lt;&gt; 0, Source!BS77, 1)</f>
        <v>20.88</v>
      </c>
      <c r="K166" s="33">
        <f>Source!R77</f>
        <v>2</v>
      </c>
      <c r="L166" s="34"/>
      <c r="R166">
        <f>H166</f>
        <v>0</v>
      </c>
    </row>
    <row r="167" spans="1:26" ht="14.4">
      <c r="A167" s="27"/>
      <c r="B167" s="28"/>
      <c r="C167" s="25" t="s">
        <v>969</v>
      </c>
      <c r="D167" s="30"/>
      <c r="E167" s="10"/>
      <c r="F167" s="32">
        <f>Source!AL77</f>
        <v>12028.85</v>
      </c>
      <c r="G167" s="31" t="str">
        <f>Source!DD77</f>
        <v/>
      </c>
      <c r="H167" s="33">
        <f>ROUND(Source!AC77*Source!I77, 0)</f>
        <v>481</v>
      </c>
      <c r="I167" s="31"/>
      <c r="J167" s="31">
        <f>IF(Source!BC77&lt;&gt; 0, Source!BC77, 1)</f>
        <v>3.2</v>
      </c>
      <c r="K167" s="33">
        <f>Source!P77</f>
        <v>1540</v>
      </c>
      <c r="L167" s="34"/>
    </row>
    <row r="168" spans="1:26" ht="14.4">
      <c r="A168" s="27"/>
      <c r="B168" s="28"/>
      <c r="C168" s="25" t="s">
        <v>964</v>
      </c>
      <c r="D168" s="30" t="s">
        <v>965</v>
      </c>
      <c r="E168" s="10">
        <f>Source!BZ77</f>
        <v>103</v>
      </c>
      <c r="F168" s="92" t="str">
        <f>CONCATENATE(" )", Source!DL77, Source!FT77, "=", Source!FX77)</f>
        <v xml:space="preserve"> )*0,7=72,1</v>
      </c>
      <c r="G168" s="90"/>
      <c r="H168" s="33">
        <f>SUM(S162:S170)</f>
        <v>17</v>
      </c>
      <c r="I168" s="35"/>
      <c r="J168" s="25">
        <f>Source!AT77</f>
        <v>72</v>
      </c>
      <c r="K168" s="33">
        <f>SUM(T162:T170)</f>
        <v>346</v>
      </c>
      <c r="L168" s="34"/>
    </row>
    <row r="169" spans="1:26" ht="14.4">
      <c r="A169" s="27"/>
      <c r="B169" s="28"/>
      <c r="C169" s="25" t="s">
        <v>966</v>
      </c>
      <c r="D169" s="30" t="s">
        <v>965</v>
      </c>
      <c r="E169" s="10">
        <f>Source!CA77</f>
        <v>60</v>
      </c>
      <c r="F169" s="92" t="str">
        <f>CONCATENATE(" )", Source!DM77, Source!FU77, "=", Source!FY77)</f>
        <v xml:space="preserve"> )*0,9=54</v>
      </c>
      <c r="G169" s="90"/>
      <c r="H169" s="33">
        <f>SUM(U162:U170)</f>
        <v>12</v>
      </c>
      <c r="I169" s="35"/>
      <c r="J169" s="25">
        <f>Source!AU77</f>
        <v>54</v>
      </c>
      <c r="K169" s="33">
        <f>SUM(V162:V170)</f>
        <v>260</v>
      </c>
      <c r="L169" s="34"/>
    </row>
    <row r="170" spans="1:26" ht="14.4">
      <c r="A170" s="39"/>
      <c r="B170" s="40"/>
      <c r="C170" s="41" t="s">
        <v>967</v>
      </c>
      <c r="D170" s="42" t="s">
        <v>968</v>
      </c>
      <c r="E170" s="43">
        <f>Source!AQ77</f>
        <v>61.9</v>
      </c>
      <c r="F170" s="44"/>
      <c r="G170" s="45" t="str">
        <f>Source!DI77</f>
        <v/>
      </c>
      <c r="H170" s="46"/>
      <c r="I170" s="45"/>
      <c r="J170" s="45"/>
      <c r="K170" s="46"/>
      <c r="L170" s="47">
        <f>Source!U77</f>
        <v>2.476</v>
      </c>
    </row>
    <row r="171" spans="1:26" ht="13.8">
      <c r="G171" s="93">
        <f>ROUND(Source!AC77*Source!I77, 0)+ROUND(Source!AF77*Source!I77, 0)+ROUND(Source!AD77*Source!I77, 0)+SUM(H168:H169)</f>
        <v>534</v>
      </c>
      <c r="H171" s="93"/>
      <c r="J171" s="93">
        <f>Source!O77+SUM(K168:K169)</f>
        <v>2634</v>
      </c>
      <c r="K171" s="93"/>
      <c r="L171" s="38">
        <f>Source!U77</f>
        <v>2.476</v>
      </c>
      <c r="O171" s="37">
        <f>G171</f>
        <v>534</v>
      </c>
      <c r="P171" s="37">
        <f>J171</f>
        <v>2634</v>
      </c>
      <c r="Q171" s="48">
        <f>L171</f>
        <v>2.476</v>
      </c>
      <c r="W171">
        <f>IF(Source!BI77&lt;=1,G171, 0)</f>
        <v>534</v>
      </c>
      <c r="X171">
        <f>IF(Source!BI77=2,G171, 0)</f>
        <v>0</v>
      </c>
      <c r="Y171">
        <f>IF(Source!BI77=3,G171, 0)</f>
        <v>0</v>
      </c>
      <c r="Z171">
        <f>IF(Source!BI77=4,G171, 0)</f>
        <v>0</v>
      </c>
    </row>
    <row r="172" spans="1:26" ht="43.2">
      <c r="A172" s="27" t="str">
        <f>Source!E78</f>
        <v>16</v>
      </c>
      <c r="B172" s="28" t="str">
        <f>Source!F78</f>
        <v>15-04-006-3</v>
      </c>
      <c r="C172" s="25" t="str">
        <f>Source!G78</f>
        <v>Покрытие поверхностей грунтовкой глубокого проникновения за 1 раз стен</v>
      </c>
      <c r="D172" s="30" t="str">
        <f>Source!H78</f>
        <v>100 м2 покрытия</v>
      </c>
      <c r="E172" s="10">
        <f>Source!I78</f>
        <v>0.21</v>
      </c>
      <c r="F172" s="32">
        <f>IF(Source!AK78&lt;&gt; 0, Source!AK78,Source!AL78 + Source!AM78 + Source!AO78)</f>
        <v>60.3</v>
      </c>
      <c r="G172" s="31"/>
      <c r="H172" s="33"/>
      <c r="I172" s="31" t="str">
        <f>Source!BO78</f>
        <v>15-04-006-3</v>
      </c>
      <c r="J172" s="31"/>
      <c r="K172" s="33"/>
      <c r="L172" s="34"/>
      <c r="S172">
        <f>ROUND((Source!FX78/100)*((ROUND(Source!AF78*Source!I78, 0)+ROUND(Source!AE78*Source!I78, 0))), 0)</f>
        <v>9</v>
      </c>
      <c r="T172">
        <f>Source!X78</f>
        <v>197</v>
      </c>
      <c r="U172">
        <f>ROUND((Source!FY78/100)*((ROUND(Source!AF78*Source!I78, 0)+ROUND(Source!AE78*Source!I78, 0))), 0)</f>
        <v>6</v>
      </c>
      <c r="V172">
        <f>Source!Y78</f>
        <v>125</v>
      </c>
    </row>
    <row r="173" spans="1:26">
      <c r="C173" s="49" t="str">
        <f>"Объем: "&amp;Source!I78&amp;"=21/"&amp;"100"</f>
        <v>Объем: 0,21=21/100</v>
      </c>
    </row>
    <row r="174" spans="1:26" ht="14.4">
      <c r="A174" s="27"/>
      <c r="B174" s="28"/>
      <c r="C174" s="25" t="s">
        <v>962</v>
      </c>
      <c r="D174" s="30"/>
      <c r="E174" s="10"/>
      <c r="F174" s="32">
        <f>Source!AO78</f>
        <v>58.88</v>
      </c>
      <c r="G174" s="31" t="str">
        <f>Source!DG78</f>
        <v>)*1,15</v>
      </c>
      <c r="H174" s="33">
        <f>ROUND(Source!AF78*Source!I78, 0)</f>
        <v>14</v>
      </c>
      <c r="I174" s="31"/>
      <c r="J174" s="31">
        <f>IF(Source!BA78&lt;&gt; 0, Source!BA78, 1)</f>
        <v>20.88</v>
      </c>
      <c r="K174" s="33">
        <f>Source!S78</f>
        <v>297</v>
      </c>
      <c r="L174" s="34"/>
      <c r="R174">
        <f>H174</f>
        <v>14</v>
      </c>
    </row>
    <row r="175" spans="1:26" ht="14.4">
      <c r="A175" s="27"/>
      <c r="B175" s="28"/>
      <c r="C175" s="25" t="s">
        <v>125</v>
      </c>
      <c r="D175" s="30"/>
      <c r="E175" s="10"/>
      <c r="F175" s="32">
        <f>Source!AM78</f>
        <v>1.24</v>
      </c>
      <c r="G175" s="31" t="str">
        <f>Source!DE78</f>
        <v>)*1,25</v>
      </c>
      <c r="H175" s="33">
        <f>ROUND(Source!AD78*Source!I78, 0)</f>
        <v>0</v>
      </c>
      <c r="I175" s="31"/>
      <c r="J175" s="31">
        <f>IF(Source!BB78&lt;&gt; 0, Source!BB78, 1)</f>
        <v>9.4499999999999993</v>
      </c>
      <c r="K175" s="33">
        <f>Source!Q78</f>
        <v>3</v>
      </c>
      <c r="L175" s="34"/>
    </row>
    <row r="176" spans="1:26" ht="14.4">
      <c r="A176" s="27"/>
      <c r="B176" s="28"/>
      <c r="C176" s="25" t="s">
        <v>963</v>
      </c>
      <c r="D176" s="30"/>
      <c r="E176" s="10"/>
      <c r="F176" s="32">
        <f>Source!AN78</f>
        <v>0.12</v>
      </c>
      <c r="G176" s="31" t="str">
        <f>Source!DF78</f>
        <v>)*1,25</v>
      </c>
      <c r="H176" s="33">
        <f>ROUND(Source!AE78*Source!I78, 0)</f>
        <v>0</v>
      </c>
      <c r="I176" s="31"/>
      <c r="J176" s="31">
        <f>IF(Source!BS78&lt;&gt; 0, Source!BS78, 1)</f>
        <v>20.88</v>
      </c>
      <c r="K176" s="33">
        <f>Source!R78</f>
        <v>1</v>
      </c>
      <c r="L176" s="34"/>
      <c r="R176">
        <f>H176</f>
        <v>0</v>
      </c>
    </row>
    <row r="177" spans="1:26" ht="14.4">
      <c r="A177" s="27"/>
      <c r="B177" s="28"/>
      <c r="C177" s="25" t="s">
        <v>969</v>
      </c>
      <c r="D177" s="30"/>
      <c r="E177" s="10"/>
      <c r="F177" s="32">
        <f>Source!AL78</f>
        <v>0.18</v>
      </c>
      <c r="G177" s="31" t="str">
        <f>Source!DD78</f>
        <v/>
      </c>
      <c r="H177" s="33">
        <f>ROUND(Source!AC78*Source!I78, 0)</f>
        <v>0</v>
      </c>
      <c r="I177" s="31"/>
      <c r="J177" s="31">
        <f>IF(Source!BC78&lt;&gt; 0, Source!BC78, 1)</f>
        <v>14.56</v>
      </c>
      <c r="K177" s="33">
        <f>Source!P78</f>
        <v>1</v>
      </c>
      <c r="L177" s="34"/>
    </row>
    <row r="178" spans="1:26" ht="14.4">
      <c r="A178" s="27"/>
      <c r="B178" s="28"/>
      <c r="C178" s="25" t="s">
        <v>964</v>
      </c>
      <c r="D178" s="30" t="s">
        <v>965</v>
      </c>
      <c r="E178" s="10">
        <f>Source!BZ78</f>
        <v>105</v>
      </c>
      <c r="F178" s="92" t="str">
        <f>CONCATENATE(" )", Source!DL78, Source!FT78, "=", Source!FX78)</f>
        <v xml:space="preserve"> )*0,9*0,7=66,15</v>
      </c>
      <c r="G178" s="90"/>
      <c r="H178" s="33">
        <f>SUM(S172:S180)</f>
        <v>9</v>
      </c>
      <c r="I178" s="35"/>
      <c r="J178" s="25">
        <f>Source!AT78</f>
        <v>66</v>
      </c>
      <c r="K178" s="33">
        <f>SUM(T172:T180)</f>
        <v>197</v>
      </c>
      <c r="L178" s="34"/>
    </row>
    <row r="179" spans="1:26" ht="14.4">
      <c r="A179" s="27"/>
      <c r="B179" s="28"/>
      <c r="C179" s="25" t="s">
        <v>966</v>
      </c>
      <c r="D179" s="30" t="s">
        <v>965</v>
      </c>
      <c r="E179" s="10">
        <f>Source!CA78</f>
        <v>55</v>
      </c>
      <c r="F179" s="92" t="str">
        <f>CONCATENATE(" )", Source!DM78, Source!FU78, "=", Source!FY78)</f>
        <v xml:space="preserve"> )*0,85*0,9=42,075</v>
      </c>
      <c r="G179" s="90"/>
      <c r="H179" s="33">
        <f>SUM(U172:U180)</f>
        <v>6</v>
      </c>
      <c r="I179" s="35"/>
      <c r="J179" s="25">
        <f>Source!AU78</f>
        <v>42</v>
      </c>
      <c r="K179" s="33">
        <f>SUM(V172:V180)</f>
        <v>125</v>
      </c>
      <c r="L179" s="34"/>
    </row>
    <row r="180" spans="1:26" ht="14.4">
      <c r="A180" s="39"/>
      <c r="B180" s="40"/>
      <c r="C180" s="41" t="s">
        <v>967</v>
      </c>
      <c r="D180" s="42" t="s">
        <v>968</v>
      </c>
      <c r="E180" s="43">
        <f>Source!AQ78</f>
        <v>6.55</v>
      </c>
      <c r="F180" s="44"/>
      <c r="G180" s="45" t="str">
        <f>Source!DI78</f>
        <v>)*1,15</v>
      </c>
      <c r="H180" s="46"/>
      <c r="I180" s="45"/>
      <c r="J180" s="45"/>
      <c r="K180" s="46"/>
      <c r="L180" s="47">
        <f>Source!U78</f>
        <v>1.5818249999999996</v>
      </c>
    </row>
    <row r="181" spans="1:26" ht="13.8">
      <c r="G181" s="93">
        <f>ROUND(Source!AC78*Source!I78, 0)+ROUND(Source!AF78*Source!I78, 0)+ROUND(Source!AD78*Source!I78, 0)+SUM(H178:H179)</f>
        <v>29</v>
      </c>
      <c r="H181" s="93"/>
      <c r="J181" s="93">
        <f>Source!O78+SUM(K178:K179)</f>
        <v>623</v>
      </c>
      <c r="K181" s="93"/>
      <c r="L181" s="38">
        <f>Source!U78</f>
        <v>1.5818249999999996</v>
      </c>
      <c r="O181" s="37">
        <f>G181</f>
        <v>29</v>
      </c>
      <c r="P181" s="37">
        <f>J181</f>
        <v>623</v>
      </c>
      <c r="Q181" s="48">
        <f>L181</f>
        <v>1.5818249999999996</v>
      </c>
      <c r="W181">
        <f>IF(Source!BI78&lt;=1,G181, 0)</f>
        <v>29</v>
      </c>
      <c r="X181">
        <f>IF(Source!BI78=2,G181, 0)</f>
        <v>0</v>
      </c>
      <c r="Y181">
        <f>IF(Source!BI78=3,G181, 0)</f>
        <v>0</v>
      </c>
      <c r="Z181">
        <f>IF(Source!BI78=4,G181, 0)</f>
        <v>0</v>
      </c>
    </row>
    <row r="182" spans="1:26" ht="28.2">
      <c r="A182" s="27" t="str">
        <f>Source!E79</f>
        <v>17</v>
      </c>
      <c r="B182" s="28" t="str">
        <f>Source!F79</f>
        <v>101-6968</v>
      </c>
      <c r="C182" s="25" t="str">
        <f>Source!G79</f>
        <v>Состав грунтовочный ЛАЭС "Грунтовка глубокого проникновения"</v>
      </c>
      <c r="D182" s="30" t="str">
        <f>Source!H79</f>
        <v>кг</v>
      </c>
      <c r="E182" s="10">
        <f>Source!I79</f>
        <v>2.73</v>
      </c>
      <c r="F182" s="32">
        <f>IF(Source!AK79&lt;&gt; 0, Source!AK79,Source!AL79 + Source!AM79 + Source!AO79)</f>
        <v>22.1</v>
      </c>
      <c r="G182" s="31"/>
      <c r="H182" s="33"/>
      <c r="I182" s="31" t="str">
        <f>Source!BO79</f>
        <v>101-6968</v>
      </c>
      <c r="J182" s="31"/>
      <c r="K182" s="33"/>
      <c r="L182" s="34"/>
      <c r="S182">
        <f>ROUND((Source!FX79/100)*((ROUND(Source!AF79*Source!I79, 0)+ROUND(Source!AE79*Source!I79, 0))), 0)</f>
        <v>0</v>
      </c>
      <c r="T182">
        <f>Source!X79</f>
        <v>0</v>
      </c>
      <c r="U182">
        <f>ROUND((Source!FY79/100)*((ROUND(Source!AF79*Source!I79, 0)+ROUND(Source!AE79*Source!I79, 0))), 0)</f>
        <v>0</v>
      </c>
      <c r="V182">
        <f>Source!Y79</f>
        <v>0</v>
      </c>
    </row>
    <row r="183" spans="1:26" ht="14.4">
      <c r="A183" s="39"/>
      <c r="B183" s="40"/>
      <c r="C183" s="41" t="s">
        <v>969</v>
      </c>
      <c r="D183" s="42"/>
      <c r="E183" s="43"/>
      <c r="F183" s="44">
        <f>Source!AL79</f>
        <v>22.1</v>
      </c>
      <c r="G183" s="45" t="str">
        <f>Source!DD79</f>
        <v/>
      </c>
      <c r="H183" s="46">
        <f>ROUND(Source!AC79*Source!I79, 0)</f>
        <v>60</v>
      </c>
      <c r="I183" s="45"/>
      <c r="J183" s="45">
        <f>IF(Source!BC79&lt;&gt; 0, Source!BC79, 1)</f>
        <v>4.21</v>
      </c>
      <c r="K183" s="46">
        <f>Source!P79</f>
        <v>254</v>
      </c>
      <c r="L183" s="52"/>
    </row>
    <row r="184" spans="1:26" ht="13.8">
      <c r="G184" s="93">
        <f>ROUND(Source!AC79*Source!I79, 0)+ROUND(Source!AF79*Source!I79, 0)+ROUND(Source!AD79*Source!I79, 0)</f>
        <v>60</v>
      </c>
      <c r="H184" s="93"/>
      <c r="J184" s="93">
        <f>Source!O79</f>
        <v>254</v>
      </c>
      <c r="K184" s="93"/>
      <c r="L184" s="38">
        <f>Source!U79</f>
        <v>0</v>
      </c>
      <c r="O184" s="37">
        <f>G184</f>
        <v>60</v>
      </c>
      <c r="P184" s="37">
        <f>J184</f>
        <v>254</v>
      </c>
      <c r="Q184" s="48">
        <f>L184</f>
        <v>0</v>
      </c>
      <c r="W184">
        <f>IF(Source!BI79&lt;=1,G184, 0)</f>
        <v>60</v>
      </c>
      <c r="X184">
        <f>IF(Source!BI79=2,G184, 0)</f>
        <v>0</v>
      </c>
      <c r="Y184">
        <f>IF(Source!BI79=3,G184, 0)</f>
        <v>0</v>
      </c>
      <c r="Z184">
        <f>IF(Source!BI79=4,G184, 0)</f>
        <v>0</v>
      </c>
    </row>
    <row r="185" spans="1:26" ht="86.4">
      <c r="A185" s="27" t="str">
        <f>Source!E80</f>
        <v>18</v>
      </c>
      <c r="B185" s="28" t="str">
        <f>Source!F80</f>
        <v>15-02-016-1</v>
      </c>
      <c r="C185" s="25" t="str">
        <f>Source!G80</f>
        <v>Штукатурка поверхностей внутри здания цементно-известковым или цементным раствором по камню и бетону простая стен</v>
      </c>
      <c r="D185" s="30" t="str">
        <f>Source!H80</f>
        <v>100 м2 оштукатуриваемой поверхности</v>
      </c>
      <c r="E185" s="10">
        <f>Source!I80</f>
        <v>0.21</v>
      </c>
      <c r="F185" s="32">
        <f>IF(Source!AK80&lt;&gt; 0, Source!AK80,Source!AL80 + Source!AM80 + Source!AO80)</f>
        <v>1425.43</v>
      </c>
      <c r="G185" s="31"/>
      <c r="H185" s="33"/>
      <c r="I185" s="31" t="str">
        <f>Source!BO80</f>
        <v>15-02-016-1</v>
      </c>
      <c r="J185" s="31"/>
      <c r="K185" s="33"/>
      <c r="L185" s="34"/>
      <c r="S185">
        <f>ROUND((Source!FX80/100)*((ROUND(Source!AF80*Source!I80, 0)+ROUND(Source!AE80*Source!I80, 0))), 0)</f>
        <v>110</v>
      </c>
      <c r="T185">
        <f>Source!X80</f>
        <v>2313</v>
      </c>
      <c r="U185">
        <f>ROUND((Source!FY80/100)*((ROUND(Source!AF80*Source!I80, 0)+ROUND(Source!AE80*Source!I80, 0))), 0)</f>
        <v>70</v>
      </c>
      <c r="V185">
        <f>Source!Y80</f>
        <v>1472</v>
      </c>
    </row>
    <row r="186" spans="1:26">
      <c r="C186" s="49" t="str">
        <f>"Объем: "&amp;Source!I80&amp;"=21/"&amp;"100"</f>
        <v>Объем: 0,21=21/100</v>
      </c>
    </row>
    <row r="187" spans="1:26" ht="14.4">
      <c r="A187" s="27"/>
      <c r="B187" s="28"/>
      <c r="C187" s="25" t="s">
        <v>962</v>
      </c>
      <c r="D187" s="30"/>
      <c r="E187" s="10"/>
      <c r="F187" s="32">
        <f>Source!AO80</f>
        <v>639.39</v>
      </c>
      <c r="G187" s="31" t="str">
        <f>Source!DG80</f>
        <v>)*1,15</v>
      </c>
      <c r="H187" s="33">
        <f>ROUND(Source!AF80*Source!I80, 0)</f>
        <v>154</v>
      </c>
      <c r="I187" s="31"/>
      <c r="J187" s="31">
        <f>IF(Source!BA80&lt;&gt; 0, Source!BA80, 1)</f>
        <v>20.88</v>
      </c>
      <c r="K187" s="33">
        <f>Source!S80</f>
        <v>3224</v>
      </c>
      <c r="L187" s="34"/>
      <c r="R187">
        <f>H187</f>
        <v>154</v>
      </c>
    </row>
    <row r="188" spans="1:26" ht="14.4">
      <c r="A188" s="27"/>
      <c r="B188" s="28"/>
      <c r="C188" s="25" t="s">
        <v>125</v>
      </c>
      <c r="D188" s="30"/>
      <c r="E188" s="10"/>
      <c r="F188" s="32">
        <f>Source!AM80</f>
        <v>100.28</v>
      </c>
      <c r="G188" s="31" t="str">
        <f>Source!DE80</f>
        <v>)*1,25</v>
      </c>
      <c r="H188" s="33">
        <f>ROUND(Source!AD80*Source!I80, 0)</f>
        <v>26</v>
      </c>
      <c r="I188" s="31"/>
      <c r="J188" s="31">
        <f>IF(Source!BB80&lt;&gt; 0, Source!BB80, 1)</f>
        <v>14.61</v>
      </c>
      <c r="K188" s="33">
        <f>Source!Q80</f>
        <v>385</v>
      </c>
      <c r="L188" s="34"/>
    </row>
    <row r="189" spans="1:26" ht="14.4">
      <c r="A189" s="27"/>
      <c r="B189" s="28"/>
      <c r="C189" s="25" t="s">
        <v>963</v>
      </c>
      <c r="D189" s="30"/>
      <c r="E189" s="10"/>
      <c r="F189" s="32">
        <f>Source!AN80</f>
        <v>51.11</v>
      </c>
      <c r="G189" s="31" t="str">
        <f>Source!DF80</f>
        <v>)*1,25</v>
      </c>
      <c r="H189" s="33">
        <f>ROUND(Source!AE80*Source!I80, 0)</f>
        <v>13</v>
      </c>
      <c r="I189" s="31"/>
      <c r="J189" s="31">
        <f>IF(Source!BS80&lt;&gt; 0, Source!BS80, 1)</f>
        <v>20.88</v>
      </c>
      <c r="K189" s="33">
        <f>Source!R80</f>
        <v>280</v>
      </c>
      <c r="L189" s="34"/>
      <c r="R189">
        <f>H189</f>
        <v>13</v>
      </c>
    </row>
    <row r="190" spans="1:26" ht="14.4">
      <c r="A190" s="27"/>
      <c r="B190" s="28"/>
      <c r="C190" s="25" t="s">
        <v>969</v>
      </c>
      <c r="D190" s="30"/>
      <c r="E190" s="10"/>
      <c r="F190" s="32">
        <f>Source!AL80</f>
        <v>685.76</v>
      </c>
      <c r="G190" s="31" t="str">
        <f>Source!DD80</f>
        <v/>
      </c>
      <c r="H190" s="33">
        <f>ROUND(Source!AC80*Source!I80, 0)</f>
        <v>144</v>
      </c>
      <c r="I190" s="31"/>
      <c r="J190" s="31">
        <f>IF(Source!BC80&lt;&gt; 0, Source!BC80, 1)</f>
        <v>7.89</v>
      </c>
      <c r="K190" s="33">
        <f>Source!P80</f>
        <v>1136</v>
      </c>
      <c r="L190" s="34"/>
    </row>
    <row r="191" spans="1:26" ht="14.4">
      <c r="A191" s="27"/>
      <c r="B191" s="28"/>
      <c r="C191" s="25" t="s">
        <v>964</v>
      </c>
      <c r="D191" s="30" t="s">
        <v>965</v>
      </c>
      <c r="E191" s="10">
        <f>Source!BZ80</f>
        <v>105</v>
      </c>
      <c r="F191" s="92" t="str">
        <f>CONCATENATE(" )", Source!DL80, Source!FT80, "=", Source!FX80)</f>
        <v xml:space="preserve"> )*0,9*0,7=66,15</v>
      </c>
      <c r="G191" s="90"/>
      <c r="H191" s="33">
        <f>SUM(S185:S193)</f>
        <v>110</v>
      </c>
      <c r="I191" s="35"/>
      <c r="J191" s="25">
        <f>Source!AT80</f>
        <v>66</v>
      </c>
      <c r="K191" s="33">
        <f>SUM(T185:T193)</f>
        <v>2313</v>
      </c>
      <c r="L191" s="34"/>
    </row>
    <row r="192" spans="1:26" ht="14.4">
      <c r="A192" s="27"/>
      <c r="B192" s="28"/>
      <c r="C192" s="25" t="s">
        <v>966</v>
      </c>
      <c r="D192" s="30" t="s">
        <v>965</v>
      </c>
      <c r="E192" s="10">
        <f>Source!CA80</f>
        <v>55</v>
      </c>
      <c r="F192" s="92" t="str">
        <f>CONCATENATE(" )", Source!DM80, Source!FU80, "=", Source!FY80)</f>
        <v xml:space="preserve"> )*0,85*0,9=42,075</v>
      </c>
      <c r="G192" s="90"/>
      <c r="H192" s="33">
        <f>SUM(U185:U193)</f>
        <v>70</v>
      </c>
      <c r="I192" s="35"/>
      <c r="J192" s="25">
        <f>Source!AU80</f>
        <v>42</v>
      </c>
      <c r="K192" s="33">
        <f>SUM(V185:V193)</f>
        <v>1472</v>
      </c>
      <c r="L192" s="34"/>
    </row>
    <row r="193" spans="1:28" ht="14.4">
      <c r="A193" s="39"/>
      <c r="B193" s="40"/>
      <c r="C193" s="41" t="s">
        <v>967</v>
      </c>
      <c r="D193" s="42" t="s">
        <v>968</v>
      </c>
      <c r="E193" s="43">
        <f>Source!AQ80</f>
        <v>75.400000000000006</v>
      </c>
      <c r="F193" s="44"/>
      <c r="G193" s="45" t="str">
        <f>Source!DI80</f>
        <v>)*1,15</v>
      </c>
      <c r="H193" s="46"/>
      <c r="I193" s="45"/>
      <c r="J193" s="45"/>
      <c r="K193" s="46"/>
      <c r="L193" s="47">
        <f>Source!U80</f>
        <v>18.209099999999999</v>
      </c>
    </row>
    <row r="194" spans="1:28" ht="13.8">
      <c r="G194" s="93">
        <f>ROUND(Source!AC80*Source!I80, 0)+ROUND(Source!AF80*Source!I80, 0)+ROUND(Source!AD80*Source!I80, 0)+SUM(H191:H192)</f>
        <v>504</v>
      </c>
      <c r="H194" s="93"/>
      <c r="J194" s="93">
        <f>Source!O80+SUM(K191:K192)</f>
        <v>8530</v>
      </c>
      <c r="K194" s="93"/>
      <c r="L194" s="38">
        <f>Source!U80</f>
        <v>18.209099999999999</v>
      </c>
      <c r="O194" s="37">
        <f>G194</f>
        <v>504</v>
      </c>
      <c r="P194" s="37">
        <f>J194</f>
        <v>8530</v>
      </c>
      <c r="Q194" s="48">
        <f>L194</f>
        <v>18.209099999999999</v>
      </c>
      <c r="W194">
        <f>IF(Source!BI80&lt;=1,G194, 0)</f>
        <v>504</v>
      </c>
      <c r="X194">
        <f>IF(Source!BI80=2,G194, 0)</f>
        <v>0</v>
      </c>
      <c r="Y194">
        <f>IF(Source!BI80=3,G194, 0)</f>
        <v>0</v>
      </c>
      <c r="Z194">
        <f>IF(Source!BI80=4,G194, 0)</f>
        <v>0</v>
      </c>
    </row>
    <row r="195" spans="1:28" ht="83.4">
      <c r="A195" s="27" t="str">
        <f>Source!E81</f>
        <v>19</v>
      </c>
      <c r="B195" s="28" t="str">
        <f>Source!F81</f>
        <v>15-01-019-5</v>
      </c>
      <c r="C195" s="25" t="str">
        <f>Source!G81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D195" s="30" t="str">
        <f>Source!H81</f>
        <v>100 М2 ПОВЕРХНОСТИ ОБЛИЦОВКИ</v>
      </c>
      <c r="E195" s="10">
        <f>Source!I81</f>
        <v>0.21</v>
      </c>
      <c r="F195" s="32">
        <f>IF(Source!AK81&lt;&gt; 0, Source!AK81,Source!AL81 + Source!AM81 + Source!AO81)</f>
        <v>10508.87</v>
      </c>
      <c r="G195" s="31"/>
      <c r="H195" s="33"/>
      <c r="I195" s="31" t="str">
        <f>Source!BO81</f>
        <v>15-01-019-5</v>
      </c>
      <c r="J195" s="31"/>
      <c r="K195" s="33"/>
      <c r="L195" s="34"/>
      <c r="S195">
        <f>ROUND((Source!FX81/100)*((ROUND(Source!AF81*Source!I81, 0)+ROUND(Source!AE81*Source!I81, 0))), 0)</f>
        <v>222</v>
      </c>
      <c r="T195">
        <f>Source!X81</f>
        <v>4616</v>
      </c>
      <c r="U195">
        <f>ROUND((Source!FY81/100)*((ROUND(Source!AF81*Source!I81, 0)+ROUND(Source!AE81*Source!I81, 0))), 0)</f>
        <v>141</v>
      </c>
      <c r="V195">
        <f>Source!Y81</f>
        <v>2937</v>
      </c>
    </row>
    <row r="196" spans="1:28">
      <c r="C196" s="49" t="str">
        <f>"Объем: "&amp;Source!I81&amp;"=21/"&amp;"100"</f>
        <v>Объем: 0,21=21/100</v>
      </c>
    </row>
    <row r="197" spans="1:28" ht="14.4">
      <c r="A197" s="27"/>
      <c r="B197" s="28"/>
      <c r="C197" s="25" t="s">
        <v>962</v>
      </c>
      <c r="D197" s="30"/>
      <c r="E197" s="10"/>
      <c r="F197" s="32">
        <f>Source!AO81</f>
        <v>1369.97</v>
      </c>
      <c r="G197" s="31" t="str">
        <f>Source!DG81</f>
        <v>)*1,15</v>
      </c>
      <c r="H197" s="33">
        <f>ROUND(Source!AF81*Source!I81, 0)</f>
        <v>331</v>
      </c>
      <c r="I197" s="31"/>
      <c r="J197" s="31">
        <f>IF(Source!BA81&lt;&gt; 0, Source!BA81, 1)</f>
        <v>20.88</v>
      </c>
      <c r="K197" s="33">
        <f>Source!S81</f>
        <v>6908</v>
      </c>
      <c r="L197" s="34"/>
      <c r="R197">
        <f>H197</f>
        <v>331</v>
      </c>
    </row>
    <row r="198" spans="1:28" ht="14.4">
      <c r="A198" s="27"/>
      <c r="B198" s="28"/>
      <c r="C198" s="25" t="s">
        <v>125</v>
      </c>
      <c r="D198" s="30"/>
      <c r="E198" s="10"/>
      <c r="F198" s="32">
        <f>Source!AM81</f>
        <v>30.36</v>
      </c>
      <c r="G198" s="31" t="str">
        <f>Source!DE81</f>
        <v>)*1,25</v>
      </c>
      <c r="H198" s="33">
        <f>ROUND(Source!AD81*Source!I81, 0)</f>
        <v>8</v>
      </c>
      <c r="I198" s="31"/>
      <c r="J198" s="31">
        <f>IF(Source!BB81&lt;&gt; 0, Source!BB81, 1)</f>
        <v>13.63</v>
      </c>
      <c r="K198" s="33">
        <f>Source!Q81</f>
        <v>109</v>
      </c>
      <c r="L198" s="34"/>
    </row>
    <row r="199" spans="1:28" ht="14.4">
      <c r="A199" s="27"/>
      <c r="B199" s="28"/>
      <c r="C199" s="25" t="s">
        <v>963</v>
      </c>
      <c r="D199" s="30"/>
      <c r="E199" s="10"/>
      <c r="F199" s="32">
        <f>Source!AN81</f>
        <v>15.69</v>
      </c>
      <c r="G199" s="31" t="str">
        <f>Source!DF81</f>
        <v>)*1,25</v>
      </c>
      <c r="H199" s="33">
        <f>ROUND(Source!AE81*Source!I81, 0)</f>
        <v>4</v>
      </c>
      <c r="I199" s="31"/>
      <c r="J199" s="31">
        <f>IF(Source!BS81&lt;&gt; 0, Source!BS81, 1)</f>
        <v>20.88</v>
      </c>
      <c r="K199" s="33">
        <f>Source!R81</f>
        <v>86</v>
      </c>
      <c r="L199" s="34"/>
      <c r="R199">
        <f>H199</f>
        <v>4</v>
      </c>
    </row>
    <row r="200" spans="1:28" ht="14.4">
      <c r="A200" s="27"/>
      <c r="B200" s="28"/>
      <c r="C200" s="25" t="s">
        <v>969</v>
      </c>
      <c r="D200" s="30"/>
      <c r="E200" s="10"/>
      <c r="F200" s="32">
        <f>Source!AL81</f>
        <v>9108.5400000000009</v>
      </c>
      <c r="G200" s="31" t="str">
        <f>Source!DD81</f>
        <v/>
      </c>
      <c r="H200" s="33">
        <f>ROUND(Source!AC81*Source!I81, 0)</f>
        <v>1913</v>
      </c>
      <c r="I200" s="31"/>
      <c r="J200" s="31">
        <f>IF(Source!BC81&lt;&gt; 0, Source!BC81, 1)</f>
        <v>3.59</v>
      </c>
      <c r="K200" s="33">
        <f>Source!P81</f>
        <v>6867</v>
      </c>
      <c r="L200" s="34"/>
    </row>
    <row r="201" spans="1:28" ht="14.4">
      <c r="A201" s="27"/>
      <c r="B201" s="28"/>
      <c r="C201" s="25" t="s">
        <v>964</v>
      </c>
      <c r="D201" s="30" t="s">
        <v>965</v>
      </c>
      <c r="E201" s="10">
        <f>Source!BZ81</f>
        <v>105</v>
      </c>
      <c r="F201" s="92" t="str">
        <f>CONCATENATE(" )", Source!DL81, Source!FT81, "=", Source!FX81)</f>
        <v xml:space="preserve"> )*0,9*0,7=66,15</v>
      </c>
      <c r="G201" s="90"/>
      <c r="H201" s="33">
        <f>SUM(S195:S204)</f>
        <v>222</v>
      </c>
      <c r="I201" s="35"/>
      <c r="J201" s="25">
        <f>Source!AT81</f>
        <v>66</v>
      </c>
      <c r="K201" s="33">
        <f>SUM(T195:T204)</f>
        <v>4616</v>
      </c>
      <c r="L201" s="34"/>
    </row>
    <row r="202" spans="1:28" ht="14.4">
      <c r="A202" s="27"/>
      <c r="B202" s="28"/>
      <c r="C202" s="25" t="s">
        <v>966</v>
      </c>
      <c r="D202" s="30" t="s">
        <v>965</v>
      </c>
      <c r="E202" s="10">
        <f>Source!CA81</f>
        <v>55</v>
      </c>
      <c r="F202" s="92" t="str">
        <f>CONCATENATE(" )", Source!DM81, Source!FU81, "=", Source!FY81)</f>
        <v xml:space="preserve"> )*0,85*0,9=42,075</v>
      </c>
      <c r="G202" s="90"/>
      <c r="H202" s="33">
        <f>SUM(U195:U204)</f>
        <v>141</v>
      </c>
      <c r="I202" s="35"/>
      <c r="J202" s="25">
        <f>Source!AU81</f>
        <v>42</v>
      </c>
      <c r="K202" s="33">
        <f>SUM(V195:V204)</f>
        <v>2937</v>
      </c>
      <c r="L202" s="34"/>
    </row>
    <row r="203" spans="1:28" ht="14.4">
      <c r="A203" s="27"/>
      <c r="B203" s="28"/>
      <c r="C203" s="25" t="s">
        <v>967</v>
      </c>
      <c r="D203" s="30" t="s">
        <v>968</v>
      </c>
      <c r="E203" s="10">
        <f>Source!AQ81</f>
        <v>159.66999999999999</v>
      </c>
      <c r="F203" s="32"/>
      <c r="G203" s="31" t="str">
        <f>Source!DI81</f>
        <v>)*1,15</v>
      </c>
      <c r="H203" s="33"/>
      <c r="I203" s="31"/>
      <c r="J203" s="31"/>
      <c r="K203" s="33"/>
      <c r="L203" s="36">
        <f>Source!U81</f>
        <v>38.560304999999993</v>
      </c>
    </row>
    <row r="204" spans="1:28" ht="43.2">
      <c r="A204" s="53" t="str">
        <f>Source!E82</f>
        <v>19,1</v>
      </c>
      <c r="B204" s="53" t="str">
        <f>Source!F82</f>
        <v>101-0256</v>
      </c>
      <c r="C204" s="53" t="str">
        <f>Source!G82</f>
        <v>Плитки керамические глазурованные для внутренней облицовки стен гладкие без завала белые</v>
      </c>
      <c r="D204" s="54" t="str">
        <f>Source!H82</f>
        <v>м2</v>
      </c>
      <c r="E204" s="55">
        <f>Source!I82</f>
        <v>-21</v>
      </c>
      <c r="F204" s="56">
        <f>Source!AK82</f>
        <v>68</v>
      </c>
      <c r="G204" s="57" t="s">
        <v>3</v>
      </c>
      <c r="H204" s="58">
        <f>ROUND(Source!AC82*Source!I82, 0)+ROUND(Source!AD82*Source!I82, 0)+ROUND(Source!AF82*Source!I82, 0)</f>
        <v>-1428</v>
      </c>
      <c r="I204" s="54"/>
      <c r="J204" s="54">
        <f>IF(Source!BC82&lt;&gt; 0, Source!BC82, 1)</f>
        <v>3.78</v>
      </c>
      <c r="K204" s="58">
        <f>Source!O82</f>
        <v>-5398</v>
      </c>
      <c r="L204" s="56"/>
      <c r="S204">
        <f>ROUND((Source!FX82/100)*((ROUND(Source!AF82*Source!I82, 0)+ROUND(Source!AE82*Source!I82, 0))), 0)</f>
        <v>0</v>
      </c>
      <c r="T204">
        <f>Source!X82</f>
        <v>0</v>
      </c>
      <c r="U204">
        <f>ROUND((Source!FY82/100)*((ROUND(Source!AF82*Source!I82, 0)+ROUND(Source!AE82*Source!I82, 0))), 0)</f>
        <v>0</v>
      </c>
      <c r="V204">
        <f>Source!Y82</f>
        <v>0</v>
      </c>
      <c r="Y204">
        <f>IF(Source!BI82=3,H204, 0)</f>
        <v>0</v>
      </c>
      <c r="AA204">
        <f>ROUND(Source!AC82*Source!I82, 0)+ROUND(Source!AD82*Source!I82, 0)+ROUND(Source!AF82*Source!I82, 0)</f>
        <v>-1428</v>
      </c>
      <c r="AB204">
        <f>Source!O82</f>
        <v>-5398</v>
      </c>
    </row>
    <row r="205" spans="1:28" ht="13.8">
      <c r="G205" s="93">
        <f>ROUND(Source!AC81*Source!I81, 0)+ROUND(Source!AF81*Source!I81, 0)+ROUND(Source!AD81*Source!I81, 0)+SUM(H201:H202)+SUM(AA204:AA204)</f>
        <v>1187</v>
      </c>
      <c r="H205" s="93"/>
      <c r="J205" s="93">
        <f>Source!O81+SUM(K201:K202)+SUM(AB204:AB204)</f>
        <v>16039</v>
      </c>
      <c r="K205" s="93"/>
      <c r="L205" s="38">
        <f>Source!U81</f>
        <v>38.560304999999993</v>
      </c>
      <c r="O205" s="37">
        <f>G205</f>
        <v>1187</v>
      </c>
      <c r="P205" s="37">
        <f>J205</f>
        <v>16039</v>
      </c>
      <c r="Q205" s="48">
        <f>L205</f>
        <v>38.560304999999993</v>
      </c>
      <c r="W205">
        <f>IF(Source!BI81&lt;=1,G205, 0)</f>
        <v>1187</v>
      </c>
      <c r="X205">
        <f>IF(Source!BI81=2,G205, 0)</f>
        <v>0</v>
      </c>
      <c r="Y205">
        <f>IF(Source!BI81=3,G205, 0)</f>
        <v>0</v>
      </c>
      <c r="Z205">
        <f>IF(Source!BI81=4,G205, 0)</f>
        <v>0</v>
      </c>
    </row>
    <row r="206" spans="1:28" ht="42">
      <c r="A206" s="27" t="str">
        <f>Source!E83</f>
        <v>20</v>
      </c>
      <c r="B206" s="28" t="str">
        <f>Source!F83</f>
        <v>101-0258</v>
      </c>
      <c r="C206" s="25" t="str">
        <f>Source!G83</f>
        <v>Плитки керамические глазурованные для внутренней облицовки стен гладкие без завала цветные (однотонные)</v>
      </c>
      <c r="D206" s="30" t="str">
        <f>Source!H83</f>
        <v>м2</v>
      </c>
      <c r="E206" s="10">
        <f>Source!I83</f>
        <v>21</v>
      </c>
      <c r="F206" s="32">
        <f>IF(Source!AK83&lt;&gt; 0, Source!AK83,Source!AL83 + Source!AM83 + Source!AO83)</f>
        <v>110.96</v>
      </c>
      <c r="G206" s="31"/>
      <c r="H206" s="33"/>
      <c r="I206" s="31" t="str">
        <f>Source!BO83</f>
        <v>101-0258</v>
      </c>
      <c r="J206" s="31"/>
      <c r="K206" s="33"/>
      <c r="L206" s="34"/>
      <c r="S206">
        <f>ROUND((Source!FX83/100)*((ROUND(Source!AF83*Source!I83, 0)+ROUND(Source!AE83*Source!I83, 0))), 0)</f>
        <v>0</v>
      </c>
      <c r="T206">
        <f>Source!X83</f>
        <v>0</v>
      </c>
      <c r="U206">
        <f>ROUND((Source!FY83/100)*((ROUND(Source!AF83*Source!I83, 0)+ROUND(Source!AE83*Source!I83, 0))), 0)</f>
        <v>0</v>
      </c>
      <c r="V206">
        <f>Source!Y83</f>
        <v>0</v>
      </c>
    </row>
    <row r="207" spans="1:28" ht="14.4">
      <c r="A207" s="39"/>
      <c r="B207" s="40"/>
      <c r="C207" s="41" t="s">
        <v>969</v>
      </c>
      <c r="D207" s="42"/>
      <c r="E207" s="43"/>
      <c r="F207" s="44">
        <f>Source!AL83</f>
        <v>110.96</v>
      </c>
      <c r="G207" s="45" t="str">
        <f>Source!DD83</f>
        <v/>
      </c>
      <c r="H207" s="46">
        <f>ROUND(Source!AC83*Source!I83, 0)</f>
        <v>2330</v>
      </c>
      <c r="I207" s="45"/>
      <c r="J207" s="45">
        <f>IF(Source!BC83&lt;&gt; 0, Source!BC83, 1)</f>
        <v>3.55</v>
      </c>
      <c r="K207" s="46">
        <f>Source!P83</f>
        <v>8272</v>
      </c>
      <c r="L207" s="52"/>
    </row>
    <row r="208" spans="1:28" ht="13.8">
      <c r="G208" s="93">
        <f>ROUND(Source!AC83*Source!I83, 0)+ROUND(Source!AF83*Source!I83, 0)+ROUND(Source!AD83*Source!I83, 0)</f>
        <v>2330</v>
      </c>
      <c r="H208" s="93"/>
      <c r="J208" s="93">
        <f>Source!O83</f>
        <v>8272</v>
      </c>
      <c r="K208" s="93"/>
      <c r="L208" s="38">
        <f>Source!U83</f>
        <v>0</v>
      </c>
      <c r="O208" s="37">
        <f>G208</f>
        <v>2330</v>
      </c>
      <c r="P208" s="37">
        <f>J208</f>
        <v>8272</v>
      </c>
      <c r="Q208" s="48">
        <f>L208</f>
        <v>0</v>
      </c>
      <c r="W208">
        <f>IF(Source!BI83&lt;=1,G208, 0)</f>
        <v>2330</v>
      </c>
      <c r="X208">
        <f>IF(Source!BI83=2,G208, 0)</f>
        <v>0</v>
      </c>
      <c r="Y208">
        <f>IF(Source!BI83=3,G208, 0)</f>
        <v>0</v>
      </c>
      <c r="Z208">
        <f>IF(Source!BI83=4,G208, 0)</f>
        <v>0</v>
      </c>
    </row>
    <row r="209" spans="1:26" ht="43.2">
      <c r="A209" s="27" t="str">
        <f>Source!E84</f>
        <v>21</v>
      </c>
      <c r="B209" s="28" t="str">
        <f>Source!F84</f>
        <v>11-01-047-1</v>
      </c>
      <c r="C209" s="25" t="str">
        <f>Source!G84</f>
        <v>Устройство покрытий из плит керамогранитных размером 40х40 см</v>
      </c>
      <c r="D209" s="30" t="str">
        <f>Source!H84</f>
        <v>100 м2 покрытия</v>
      </c>
      <c r="E209" s="10">
        <f>Source!I84</f>
        <v>4.0399999999999998E-2</v>
      </c>
      <c r="F209" s="32">
        <f>IF(Source!AK84&lt;&gt; 0, Source!AK84,Source!AL84 + Source!AM84 + Source!AO84)</f>
        <v>21676.95</v>
      </c>
      <c r="G209" s="31"/>
      <c r="H209" s="33"/>
      <c r="I209" s="31" t="str">
        <f>Source!BO84</f>
        <v>11-01-047-1</v>
      </c>
      <c r="J209" s="31"/>
      <c r="K209" s="33"/>
      <c r="L209" s="34"/>
      <c r="S209">
        <f>ROUND((Source!FX84/100)*((ROUND(Source!AF84*Source!I84, 0)+ROUND(Source!AE84*Source!I84, 0))), 0)</f>
        <v>92</v>
      </c>
      <c r="T209">
        <f>Source!X84</f>
        <v>1907</v>
      </c>
      <c r="U209">
        <f>ROUND((Source!FY84/100)*((ROUND(Source!AF84*Source!I84, 0)+ROUND(Source!AE84*Source!I84, 0))), 0)</f>
        <v>68</v>
      </c>
      <c r="V209">
        <f>Source!Y84</f>
        <v>1411</v>
      </c>
    </row>
    <row r="210" spans="1:26">
      <c r="C210" s="49" t="str">
        <f>"Объем: "&amp;Source!I84&amp;"=4,04/"&amp;"100"</f>
        <v>Объем: 0,0404=4,04/100</v>
      </c>
    </row>
    <row r="211" spans="1:26" ht="14.4">
      <c r="A211" s="27"/>
      <c r="B211" s="28"/>
      <c r="C211" s="25" t="s">
        <v>962</v>
      </c>
      <c r="D211" s="30"/>
      <c r="E211" s="10"/>
      <c r="F211" s="32">
        <f>Source!AO84</f>
        <v>2536.13</v>
      </c>
      <c r="G211" s="31" t="str">
        <f>Source!DG84</f>
        <v>)*1,15</v>
      </c>
      <c r="H211" s="33">
        <f>ROUND(Source!AF84*Source!I84, 0)</f>
        <v>118</v>
      </c>
      <c r="I211" s="31"/>
      <c r="J211" s="31">
        <f>IF(Source!BA84&lt;&gt; 0, Source!BA84, 1)</f>
        <v>20.88</v>
      </c>
      <c r="K211" s="33">
        <f>Source!S84</f>
        <v>2460</v>
      </c>
      <c r="L211" s="34"/>
      <c r="R211">
        <f>H211</f>
        <v>118</v>
      </c>
    </row>
    <row r="212" spans="1:26" ht="14.4">
      <c r="A212" s="27"/>
      <c r="B212" s="28"/>
      <c r="C212" s="25" t="s">
        <v>125</v>
      </c>
      <c r="D212" s="30"/>
      <c r="E212" s="10"/>
      <c r="F212" s="32">
        <f>Source!AM84</f>
        <v>23.65</v>
      </c>
      <c r="G212" s="31" t="str">
        <f>Source!DE84</f>
        <v>)*1,25</v>
      </c>
      <c r="H212" s="33">
        <f>ROUND(Source!AD84*Source!I84, 0)</f>
        <v>1</v>
      </c>
      <c r="I212" s="31"/>
      <c r="J212" s="31">
        <f>IF(Source!BB84&lt;&gt; 0, Source!BB84, 1)</f>
        <v>16.059999999999999</v>
      </c>
      <c r="K212" s="33">
        <f>Source!Q84</f>
        <v>19</v>
      </c>
      <c r="L212" s="34"/>
    </row>
    <row r="213" spans="1:26" ht="14.4">
      <c r="A213" s="27"/>
      <c r="B213" s="28"/>
      <c r="C213" s="25" t="s">
        <v>963</v>
      </c>
      <c r="D213" s="30"/>
      <c r="E213" s="10"/>
      <c r="F213" s="32">
        <f>Source!AN84</f>
        <v>15.55</v>
      </c>
      <c r="G213" s="31" t="str">
        <f>Source!DF84</f>
        <v>)*1,25</v>
      </c>
      <c r="H213" s="33">
        <f>ROUND(Source!AE84*Source!I84, 0)</f>
        <v>1</v>
      </c>
      <c r="I213" s="31"/>
      <c r="J213" s="31">
        <f>IF(Source!BS84&lt;&gt; 0, Source!BS84, 1)</f>
        <v>20.88</v>
      </c>
      <c r="K213" s="33">
        <f>Source!R84</f>
        <v>16</v>
      </c>
      <c r="L213" s="34"/>
      <c r="R213">
        <f>H213</f>
        <v>1</v>
      </c>
    </row>
    <row r="214" spans="1:26" ht="14.4">
      <c r="A214" s="27"/>
      <c r="B214" s="28"/>
      <c r="C214" s="25" t="s">
        <v>969</v>
      </c>
      <c r="D214" s="30"/>
      <c r="E214" s="10"/>
      <c r="F214" s="32">
        <f>Source!AL84</f>
        <v>19117.169999999998</v>
      </c>
      <c r="G214" s="31" t="str">
        <f>Source!DD84</f>
        <v/>
      </c>
      <c r="H214" s="33">
        <f>ROUND(Source!AC84*Source!I84, 0)</f>
        <v>772</v>
      </c>
      <c r="I214" s="31"/>
      <c r="J214" s="31">
        <f>IF(Source!BC84&lt;&gt; 0, Source!BC84, 1)</f>
        <v>3.22</v>
      </c>
      <c r="K214" s="33">
        <f>Source!P84</f>
        <v>2487</v>
      </c>
      <c r="L214" s="34"/>
    </row>
    <row r="215" spans="1:26" ht="14.4">
      <c r="A215" s="27"/>
      <c r="B215" s="28"/>
      <c r="C215" s="25" t="s">
        <v>964</v>
      </c>
      <c r="D215" s="30" t="s">
        <v>965</v>
      </c>
      <c r="E215" s="10">
        <f>Source!BZ84</f>
        <v>123</v>
      </c>
      <c r="F215" s="92" t="str">
        <f>CONCATENATE(" )", Source!DL84, Source!FT84, "=", Source!FX84)</f>
        <v xml:space="preserve"> )*0,9*0,7=77,49</v>
      </c>
      <c r="G215" s="90"/>
      <c r="H215" s="33">
        <f>SUM(S209:S217)</f>
        <v>92</v>
      </c>
      <c r="I215" s="35"/>
      <c r="J215" s="25">
        <f>Source!AT84</f>
        <v>77</v>
      </c>
      <c r="K215" s="33">
        <f>SUM(T209:T217)</f>
        <v>1907</v>
      </c>
      <c r="L215" s="34"/>
    </row>
    <row r="216" spans="1:26" ht="14.4">
      <c r="A216" s="27"/>
      <c r="B216" s="28"/>
      <c r="C216" s="25" t="s">
        <v>966</v>
      </c>
      <c r="D216" s="30" t="s">
        <v>965</v>
      </c>
      <c r="E216" s="10">
        <f>Source!CA84</f>
        <v>75</v>
      </c>
      <c r="F216" s="92" t="str">
        <f>CONCATENATE(" )", Source!DM84, Source!FU84, "=", Source!FY84)</f>
        <v xml:space="preserve"> )*0,85*0,9=57,375</v>
      </c>
      <c r="G216" s="90"/>
      <c r="H216" s="33">
        <f>SUM(U209:U217)</f>
        <v>68</v>
      </c>
      <c r="I216" s="35"/>
      <c r="J216" s="25">
        <f>Source!AU84</f>
        <v>57</v>
      </c>
      <c r="K216" s="33">
        <f>SUM(V209:V217)</f>
        <v>1411</v>
      </c>
      <c r="L216" s="34"/>
    </row>
    <row r="217" spans="1:26" ht="14.4">
      <c r="A217" s="39"/>
      <c r="B217" s="40"/>
      <c r="C217" s="41" t="s">
        <v>967</v>
      </c>
      <c r="D217" s="42" t="s">
        <v>968</v>
      </c>
      <c r="E217" s="43">
        <f>Source!AQ84</f>
        <v>310.42</v>
      </c>
      <c r="F217" s="44"/>
      <c r="G217" s="45" t="str">
        <f>Source!DI84</f>
        <v>)*1,15</v>
      </c>
      <c r="H217" s="46"/>
      <c r="I217" s="45"/>
      <c r="J217" s="45"/>
      <c r="K217" s="46"/>
      <c r="L217" s="47">
        <f>Source!U84</f>
        <v>14.4221132</v>
      </c>
    </row>
    <row r="218" spans="1:26" ht="13.8">
      <c r="G218" s="93">
        <f>ROUND(Source!AC84*Source!I84, 0)+ROUND(Source!AF84*Source!I84, 0)+ROUND(Source!AD84*Source!I84, 0)+SUM(H215:H216)</f>
        <v>1051</v>
      </c>
      <c r="H218" s="93"/>
      <c r="J218" s="93">
        <f>Source!O84+SUM(K215:K216)</f>
        <v>8284</v>
      </c>
      <c r="K218" s="93"/>
      <c r="L218" s="38">
        <f>Source!U84</f>
        <v>14.4221132</v>
      </c>
      <c r="O218" s="37">
        <f>G218</f>
        <v>1051</v>
      </c>
      <c r="P218" s="37">
        <f>J218</f>
        <v>8284</v>
      </c>
      <c r="Q218" s="48">
        <f>L218</f>
        <v>14.4221132</v>
      </c>
      <c r="W218">
        <f>IF(Source!BI84&lt;=1,G218, 0)</f>
        <v>1051</v>
      </c>
      <c r="X218">
        <f>IF(Source!BI84=2,G218, 0)</f>
        <v>0</v>
      </c>
      <c r="Y218">
        <f>IF(Source!BI84=3,G218, 0)</f>
        <v>0</v>
      </c>
      <c r="Z218">
        <f>IF(Source!BI84=4,G218, 0)</f>
        <v>0</v>
      </c>
    </row>
    <row r="219" spans="1:26" ht="28.2">
      <c r="A219" s="27" t="str">
        <f>Source!E85</f>
        <v>22</v>
      </c>
      <c r="B219" s="28" t="str">
        <f>Source!F85</f>
        <v>101-6968</v>
      </c>
      <c r="C219" s="25" t="str">
        <f>Source!G85</f>
        <v>Состав грунтовочный ЛАЭС "Грунтовка глубокого проникновения"</v>
      </c>
      <c r="D219" s="30" t="str">
        <f>Source!H85</f>
        <v>кг</v>
      </c>
      <c r="E219" s="10">
        <f>Source!I85</f>
        <v>0.52</v>
      </c>
      <c r="F219" s="32">
        <f>IF(Source!AK85&lt;&gt; 0, Source!AK85,Source!AL85 + Source!AM85 + Source!AO85)</f>
        <v>22.1</v>
      </c>
      <c r="G219" s="31"/>
      <c r="H219" s="33"/>
      <c r="I219" s="31" t="str">
        <f>Source!BO85</f>
        <v>101-6968</v>
      </c>
      <c r="J219" s="31"/>
      <c r="K219" s="33"/>
      <c r="L219" s="34"/>
      <c r="S219">
        <f>ROUND((Source!FX85/100)*((ROUND(Source!AF85*Source!I85, 0)+ROUND(Source!AE85*Source!I85, 0))), 0)</f>
        <v>0</v>
      </c>
      <c r="T219">
        <f>Source!X85</f>
        <v>0</v>
      </c>
      <c r="U219">
        <f>ROUND((Source!FY85/100)*((ROUND(Source!AF85*Source!I85, 0)+ROUND(Source!AE85*Source!I85, 0))), 0)</f>
        <v>0</v>
      </c>
      <c r="V219">
        <f>Source!Y85</f>
        <v>0</v>
      </c>
    </row>
    <row r="220" spans="1:26" ht="14.4">
      <c r="A220" s="39"/>
      <c r="B220" s="40"/>
      <c r="C220" s="41" t="s">
        <v>969</v>
      </c>
      <c r="D220" s="42"/>
      <c r="E220" s="43"/>
      <c r="F220" s="44">
        <f>Source!AL85</f>
        <v>22.1</v>
      </c>
      <c r="G220" s="45" t="str">
        <f>Source!DD85</f>
        <v/>
      </c>
      <c r="H220" s="46">
        <f>ROUND(Source!AC85*Source!I85, 0)</f>
        <v>11</v>
      </c>
      <c r="I220" s="45"/>
      <c r="J220" s="45">
        <f>IF(Source!BC85&lt;&gt; 0, Source!BC85, 1)</f>
        <v>4.21</v>
      </c>
      <c r="K220" s="46">
        <f>Source!P85</f>
        <v>48</v>
      </c>
      <c r="L220" s="52"/>
    </row>
    <row r="221" spans="1:26" ht="13.8">
      <c r="G221" s="93">
        <f>ROUND(Source!AC85*Source!I85, 0)+ROUND(Source!AF85*Source!I85, 0)+ROUND(Source!AD85*Source!I85, 0)</f>
        <v>11</v>
      </c>
      <c r="H221" s="93"/>
      <c r="J221" s="93">
        <f>Source!O85</f>
        <v>48</v>
      </c>
      <c r="K221" s="93"/>
      <c r="L221" s="38">
        <f>Source!U85</f>
        <v>0</v>
      </c>
      <c r="O221" s="37">
        <f>G221</f>
        <v>11</v>
      </c>
      <c r="P221" s="37">
        <f>J221</f>
        <v>48</v>
      </c>
      <c r="Q221" s="48">
        <f>L221</f>
        <v>0</v>
      </c>
      <c r="W221">
        <f>IF(Source!BI85&lt;=1,G221, 0)</f>
        <v>11</v>
      </c>
      <c r="X221">
        <f>IF(Source!BI85=2,G221, 0)</f>
        <v>0</v>
      </c>
      <c r="Y221">
        <f>IF(Source!BI85=3,G221, 0)</f>
        <v>0</v>
      </c>
      <c r="Z221">
        <f>IF(Source!BI85=4,G221, 0)</f>
        <v>0</v>
      </c>
    </row>
    <row r="222" spans="1:26" ht="72">
      <c r="A222" s="27" t="str">
        <f>Source!E86</f>
        <v>23</v>
      </c>
      <c r="B222" s="28" t="str">
        <f>Source!F86</f>
        <v>15-01-047-16</v>
      </c>
      <c r="C222" s="25" t="str">
        <f>Source!G86</f>
        <v>Устройство потолков реечных алюминиевых</v>
      </c>
      <c r="D222" s="30" t="str">
        <f>Source!H86</f>
        <v>100 М2 ПОВЕРХНОСТИ ОБЛИЦОВКИ</v>
      </c>
      <c r="E222" s="10">
        <f>Source!I86</f>
        <v>3.9399999999999998E-2</v>
      </c>
      <c r="F222" s="32">
        <f>IF(Source!AK86&lt;&gt; 0, Source!AK86,Source!AL86 + Source!AM86 + Source!AO86)</f>
        <v>29790.85</v>
      </c>
      <c r="G222" s="31"/>
      <c r="H222" s="33"/>
      <c r="I222" s="31" t="str">
        <f>Source!BO86</f>
        <v>15-01-047-16</v>
      </c>
      <c r="J222" s="31"/>
      <c r="K222" s="33"/>
      <c r="L222" s="34"/>
      <c r="S222">
        <f>ROUND((Source!FX86/100)*((ROUND(Source!AF86*Source!I86, 0)+ROUND(Source!AE86*Source!I86, 0))), 0)</f>
        <v>28</v>
      </c>
      <c r="T222">
        <f>Source!X86</f>
        <v>597</v>
      </c>
      <c r="U222">
        <f>ROUND((Source!FY86/100)*((ROUND(Source!AF86*Source!I86, 0)+ROUND(Source!AE86*Source!I86, 0))), 0)</f>
        <v>18</v>
      </c>
      <c r="V222">
        <f>Source!Y86</f>
        <v>380</v>
      </c>
    </row>
    <row r="223" spans="1:26">
      <c r="C223" s="49" t="str">
        <f>"Объем: "&amp;Source!I86&amp;"=3,94/"&amp;"100"</f>
        <v>Объем: 0,0394=3,94/100</v>
      </c>
    </row>
    <row r="224" spans="1:26" ht="14.4">
      <c r="A224" s="27"/>
      <c r="B224" s="28"/>
      <c r="C224" s="25" t="s">
        <v>962</v>
      </c>
      <c r="D224" s="30"/>
      <c r="E224" s="10"/>
      <c r="F224" s="32">
        <f>Source!AO86</f>
        <v>952.48</v>
      </c>
      <c r="G224" s="31" t="str">
        <f>Source!DG86</f>
        <v>)*1,15</v>
      </c>
      <c r="H224" s="33">
        <f>ROUND(Source!AF86*Source!I86, 0)</f>
        <v>43</v>
      </c>
      <c r="I224" s="31"/>
      <c r="J224" s="31">
        <f>IF(Source!BA86&lt;&gt; 0, Source!BA86, 1)</f>
        <v>20.88</v>
      </c>
      <c r="K224" s="33">
        <f>Source!S86</f>
        <v>901</v>
      </c>
      <c r="L224" s="34"/>
      <c r="R224">
        <f>H224</f>
        <v>43</v>
      </c>
    </row>
    <row r="225" spans="1:26" ht="14.4">
      <c r="A225" s="27"/>
      <c r="B225" s="28"/>
      <c r="C225" s="25" t="s">
        <v>125</v>
      </c>
      <c r="D225" s="30"/>
      <c r="E225" s="10"/>
      <c r="F225" s="32">
        <f>Source!AM86</f>
        <v>166.67</v>
      </c>
      <c r="G225" s="31" t="str">
        <f>Source!DE86</f>
        <v>)*1,25</v>
      </c>
      <c r="H225" s="33">
        <f>ROUND(Source!AD86*Source!I86, 0)</f>
        <v>8</v>
      </c>
      <c r="I225" s="31"/>
      <c r="J225" s="31">
        <f>IF(Source!BB86&lt;&gt; 0, Source!BB86, 1)</f>
        <v>5.21</v>
      </c>
      <c r="K225" s="33">
        <f>Source!Q86</f>
        <v>43</v>
      </c>
      <c r="L225" s="34"/>
    </row>
    <row r="226" spans="1:26" ht="14.4">
      <c r="A226" s="27"/>
      <c r="B226" s="28"/>
      <c r="C226" s="25" t="s">
        <v>963</v>
      </c>
      <c r="D226" s="30"/>
      <c r="E226" s="10"/>
      <c r="F226" s="32">
        <f>Source!AN86</f>
        <v>3.03</v>
      </c>
      <c r="G226" s="31" t="str">
        <f>Source!DF86</f>
        <v>)*1,25</v>
      </c>
      <c r="H226" s="33">
        <f>ROUND(Source!AE86*Source!I86, 0)</f>
        <v>0</v>
      </c>
      <c r="I226" s="31"/>
      <c r="J226" s="31">
        <f>IF(Source!BS86&lt;&gt; 0, Source!BS86, 1)</f>
        <v>20.88</v>
      </c>
      <c r="K226" s="33">
        <f>Source!R86</f>
        <v>3</v>
      </c>
      <c r="L226" s="34"/>
      <c r="R226">
        <f>H226</f>
        <v>0</v>
      </c>
    </row>
    <row r="227" spans="1:26" ht="14.4">
      <c r="A227" s="27"/>
      <c r="B227" s="28"/>
      <c r="C227" s="25" t="s">
        <v>969</v>
      </c>
      <c r="D227" s="30"/>
      <c r="E227" s="10"/>
      <c r="F227" s="32">
        <f>Source!AL86</f>
        <v>28671.7</v>
      </c>
      <c r="G227" s="31" t="str">
        <f>Source!DD86</f>
        <v/>
      </c>
      <c r="H227" s="33">
        <f>ROUND(Source!AC86*Source!I86, 0)</f>
        <v>1130</v>
      </c>
      <c r="I227" s="31"/>
      <c r="J227" s="31">
        <f>IF(Source!BC86&lt;&gt; 0, Source!BC86, 1)</f>
        <v>4.66</v>
      </c>
      <c r="K227" s="33">
        <f>Source!P86</f>
        <v>5264</v>
      </c>
      <c r="L227" s="34"/>
    </row>
    <row r="228" spans="1:26" ht="14.4">
      <c r="A228" s="27"/>
      <c r="B228" s="28"/>
      <c r="C228" s="25" t="s">
        <v>964</v>
      </c>
      <c r="D228" s="30" t="s">
        <v>965</v>
      </c>
      <c r="E228" s="10">
        <f>Source!BZ86</f>
        <v>105</v>
      </c>
      <c r="F228" s="92" t="str">
        <f>CONCATENATE(" )", Source!DL86, Source!FT86, "=", Source!FX86)</f>
        <v xml:space="preserve"> )*0,9*0,7=66,15</v>
      </c>
      <c r="G228" s="90"/>
      <c r="H228" s="33">
        <f>SUM(S222:S230)</f>
        <v>28</v>
      </c>
      <c r="I228" s="35"/>
      <c r="J228" s="25">
        <f>Source!AT86</f>
        <v>66</v>
      </c>
      <c r="K228" s="33">
        <f>SUM(T222:T230)</f>
        <v>597</v>
      </c>
      <c r="L228" s="34"/>
    </row>
    <row r="229" spans="1:26" ht="14.4">
      <c r="A229" s="27"/>
      <c r="B229" s="28"/>
      <c r="C229" s="25" t="s">
        <v>966</v>
      </c>
      <c r="D229" s="30" t="s">
        <v>965</v>
      </c>
      <c r="E229" s="10">
        <f>Source!CA86</f>
        <v>55</v>
      </c>
      <c r="F229" s="92" t="str">
        <f>CONCATENATE(" )", Source!DM86, Source!FU86, "=", Source!FY86)</f>
        <v xml:space="preserve"> )*0,85*0,9=42,075</v>
      </c>
      <c r="G229" s="90"/>
      <c r="H229" s="33">
        <f>SUM(U222:U230)</f>
        <v>18</v>
      </c>
      <c r="I229" s="35"/>
      <c r="J229" s="25">
        <f>Source!AU86</f>
        <v>42</v>
      </c>
      <c r="K229" s="33">
        <f>SUM(V222:V230)</f>
        <v>380</v>
      </c>
      <c r="L229" s="34"/>
    </row>
    <row r="230" spans="1:26" ht="14.4">
      <c r="A230" s="39"/>
      <c r="B230" s="40"/>
      <c r="C230" s="41" t="s">
        <v>967</v>
      </c>
      <c r="D230" s="42" t="s">
        <v>968</v>
      </c>
      <c r="E230" s="43">
        <f>Source!AQ86</f>
        <v>108.36</v>
      </c>
      <c r="F230" s="44"/>
      <c r="G230" s="45" t="str">
        <f>Source!DI86</f>
        <v>)*1,15</v>
      </c>
      <c r="H230" s="46"/>
      <c r="I230" s="45"/>
      <c r="J230" s="45"/>
      <c r="K230" s="46"/>
      <c r="L230" s="47">
        <f>Source!U86</f>
        <v>4.9097915999999993</v>
      </c>
    </row>
    <row r="231" spans="1:26" ht="13.8">
      <c r="G231" s="93">
        <f>ROUND(Source!AC86*Source!I86, 0)+ROUND(Source!AF86*Source!I86, 0)+ROUND(Source!AD86*Source!I86, 0)+SUM(H228:H229)</f>
        <v>1227</v>
      </c>
      <c r="H231" s="93"/>
      <c r="J231" s="93">
        <f>Source!O86+SUM(K228:K229)</f>
        <v>7185</v>
      </c>
      <c r="K231" s="93"/>
      <c r="L231" s="38">
        <f>Source!U86</f>
        <v>4.9097915999999993</v>
      </c>
      <c r="O231" s="37">
        <f>G231</f>
        <v>1227</v>
      </c>
      <c r="P231" s="37">
        <f>J231</f>
        <v>7185</v>
      </c>
      <c r="Q231" s="48">
        <f>L231</f>
        <v>4.9097915999999993</v>
      </c>
      <c r="W231">
        <f>IF(Source!BI86&lt;=1,G231, 0)</f>
        <v>1227</v>
      </c>
      <c r="X231">
        <f>IF(Source!BI86=2,G231, 0)</f>
        <v>0</v>
      </c>
      <c r="Y231">
        <f>IF(Source!BI86=3,G231, 0)</f>
        <v>0</v>
      </c>
      <c r="Z231">
        <f>IF(Source!BI86=4,G231, 0)</f>
        <v>0</v>
      </c>
    </row>
    <row r="232" spans="1:26" ht="14.4">
      <c r="A232" s="27" t="str">
        <f>Source!E87</f>
        <v>24</v>
      </c>
      <c r="B232" s="28" t="str">
        <f>Source!F87</f>
        <v>206-1338</v>
      </c>
      <c r="C232" s="25" t="str">
        <f>Source!G87</f>
        <v>Уголок декоративный (пристенный)</v>
      </c>
      <c r="D232" s="30" t="str">
        <f>Source!H87</f>
        <v>м</v>
      </c>
      <c r="E232" s="10">
        <f>Source!I87</f>
        <v>8.14</v>
      </c>
      <c r="F232" s="32">
        <f>IF(Source!AK87&lt;&gt; 0, Source!AK87,Source!AL87 + Source!AM87 + Source!AO87)</f>
        <v>6.38</v>
      </c>
      <c r="G232" s="31"/>
      <c r="H232" s="33"/>
      <c r="I232" s="31" t="str">
        <f>Source!BO87</f>
        <v>206-1338</v>
      </c>
      <c r="J232" s="31"/>
      <c r="K232" s="33"/>
      <c r="L232" s="34"/>
      <c r="S232">
        <f>ROUND((Source!FX87/100)*((ROUND(Source!AF87*Source!I87, 0)+ROUND(Source!AE87*Source!I87, 0))), 0)</f>
        <v>0</v>
      </c>
      <c r="T232">
        <f>Source!X87</f>
        <v>0</v>
      </c>
      <c r="U232">
        <f>ROUND((Source!FY87/100)*((ROUND(Source!AF87*Source!I87, 0)+ROUND(Source!AE87*Source!I87, 0))), 0)</f>
        <v>0</v>
      </c>
      <c r="V232">
        <f>Source!Y87</f>
        <v>0</v>
      </c>
    </row>
    <row r="233" spans="1:26" ht="14.4">
      <c r="A233" s="39"/>
      <c r="B233" s="40"/>
      <c r="C233" s="41" t="s">
        <v>969</v>
      </c>
      <c r="D233" s="42"/>
      <c r="E233" s="43"/>
      <c r="F233" s="44">
        <f>Source!AL87</f>
        <v>6.38</v>
      </c>
      <c r="G233" s="45" t="str">
        <f>Source!DD87</f>
        <v/>
      </c>
      <c r="H233" s="46">
        <f>ROUND(Source!AC87*Source!I87, 0)</f>
        <v>52</v>
      </c>
      <c r="I233" s="45"/>
      <c r="J233" s="45">
        <f>IF(Source!BC87&lt;&gt; 0, Source!BC87, 1)</f>
        <v>5</v>
      </c>
      <c r="K233" s="46">
        <f>Source!P87</f>
        <v>260</v>
      </c>
      <c r="L233" s="52"/>
    </row>
    <row r="234" spans="1:26" ht="13.8">
      <c r="G234" s="93">
        <f>ROUND(Source!AC87*Source!I87, 0)+ROUND(Source!AF87*Source!I87, 0)+ROUND(Source!AD87*Source!I87, 0)</f>
        <v>52</v>
      </c>
      <c r="H234" s="93"/>
      <c r="J234" s="93">
        <f>Source!O87</f>
        <v>260</v>
      </c>
      <c r="K234" s="93"/>
      <c r="L234" s="38">
        <f>Source!U87</f>
        <v>0</v>
      </c>
      <c r="O234" s="37">
        <f>G234</f>
        <v>52</v>
      </c>
      <c r="P234" s="37">
        <f>J234</f>
        <v>260</v>
      </c>
      <c r="Q234" s="48">
        <f>L234</f>
        <v>0</v>
      </c>
      <c r="W234">
        <f>IF(Source!BI87&lt;=1,G234, 0)</f>
        <v>52</v>
      </c>
      <c r="X234">
        <f>IF(Source!BI87=2,G234, 0)</f>
        <v>0</v>
      </c>
      <c r="Y234">
        <f>IF(Source!BI87=3,G234, 0)</f>
        <v>0</v>
      </c>
      <c r="Z234">
        <f>IF(Source!BI87=4,G234, 0)</f>
        <v>0</v>
      </c>
    </row>
    <row r="235" spans="1:26" ht="55.8">
      <c r="A235" s="27" t="str">
        <f>Source!E88</f>
        <v>25</v>
      </c>
      <c r="B235" s="28" t="str">
        <f>Source!F88</f>
        <v>м08-03-593-6</v>
      </c>
      <c r="C235" s="25" t="str">
        <f>Source!G88</f>
        <v>Светильник потолочный или настенный с креплением винтами или болтами для помещений с нормальными условиями среды, одноламповый</v>
      </c>
      <c r="D235" s="30" t="str">
        <f>Source!H88</f>
        <v>100 шт.</v>
      </c>
      <c r="E235" s="10">
        <f>Source!I88</f>
        <v>0.02</v>
      </c>
      <c r="F235" s="32">
        <f>IF(Source!AK88&lt;&gt; 0, Source!AK88,Source!AL88 + Source!AM88 + Source!AO88)</f>
        <v>1415.25</v>
      </c>
      <c r="G235" s="31"/>
      <c r="H235" s="33"/>
      <c r="I235" s="31" t="str">
        <f>Source!BO88</f>
        <v>м08-03-593-6</v>
      </c>
      <c r="J235" s="31"/>
      <c r="K235" s="33"/>
      <c r="L235" s="34"/>
      <c r="S235">
        <f>ROUND((Source!FX88/100)*((ROUND(Source!AF88*Source!I88, 0)+ROUND(Source!AE88*Source!I88, 0))), 0)</f>
        <v>9</v>
      </c>
      <c r="T235">
        <f>Source!X88</f>
        <v>186</v>
      </c>
      <c r="U235">
        <f>ROUND((Source!FY88/100)*((ROUND(Source!AF88*Source!I88, 0)+ROUND(Source!AE88*Source!I88, 0))), 0)</f>
        <v>8</v>
      </c>
      <c r="V235">
        <f>Source!Y88</f>
        <v>163</v>
      </c>
    </row>
    <row r="236" spans="1:26">
      <c r="C236" s="49" t="str">
        <f>"Объем: "&amp;Source!I88&amp;"=2/"&amp;"100"</f>
        <v>Объем: 0,02=2/100</v>
      </c>
    </row>
    <row r="237" spans="1:26" ht="14.4">
      <c r="A237" s="27"/>
      <c r="B237" s="28"/>
      <c r="C237" s="25" t="s">
        <v>962</v>
      </c>
      <c r="D237" s="30"/>
      <c r="E237" s="10"/>
      <c r="F237" s="32">
        <f>Source!AO88</f>
        <v>654.83000000000004</v>
      </c>
      <c r="G237" s="31" t="str">
        <f>Source!DG88</f>
        <v/>
      </c>
      <c r="H237" s="33">
        <f>ROUND(Source!AF88*Source!I88, 0)</f>
        <v>13</v>
      </c>
      <c r="I237" s="31"/>
      <c r="J237" s="31">
        <f>IF(Source!BA88&lt;&gt; 0, Source!BA88, 1)</f>
        <v>20.88</v>
      </c>
      <c r="K237" s="33">
        <f>Source!S88</f>
        <v>273</v>
      </c>
      <c r="L237" s="34"/>
      <c r="R237">
        <f>H237</f>
        <v>13</v>
      </c>
    </row>
    <row r="238" spans="1:26" ht="14.4">
      <c r="A238" s="27"/>
      <c r="B238" s="28"/>
      <c r="C238" s="25" t="s">
        <v>125</v>
      </c>
      <c r="D238" s="30"/>
      <c r="E238" s="10"/>
      <c r="F238" s="32">
        <f>Source!AM88</f>
        <v>236.96</v>
      </c>
      <c r="G238" s="31" t="str">
        <f>Source!DE88</f>
        <v/>
      </c>
      <c r="H238" s="33">
        <f>ROUND(Source!AD88*Source!I88, 0)</f>
        <v>5</v>
      </c>
      <c r="I238" s="31"/>
      <c r="J238" s="31">
        <f>IF(Source!BB88&lt;&gt; 0, Source!BB88, 1)</f>
        <v>7.18</v>
      </c>
      <c r="K238" s="33">
        <f>Source!Q88</f>
        <v>34</v>
      </c>
      <c r="L238" s="34"/>
    </row>
    <row r="239" spans="1:26" ht="14.4">
      <c r="A239" s="27"/>
      <c r="B239" s="28"/>
      <c r="C239" s="25" t="s">
        <v>963</v>
      </c>
      <c r="D239" s="30"/>
      <c r="E239" s="10"/>
      <c r="F239" s="32">
        <f>Source!AN88</f>
        <v>10.65</v>
      </c>
      <c r="G239" s="31" t="str">
        <f>Source!DF88</f>
        <v/>
      </c>
      <c r="H239" s="33">
        <f>ROUND(Source!AE88*Source!I88, 0)</f>
        <v>0</v>
      </c>
      <c r="I239" s="31"/>
      <c r="J239" s="31">
        <f>IF(Source!BS88&lt;&gt; 0, Source!BS88, 1)</f>
        <v>20.88</v>
      </c>
      <c r="K239" s="33">
        <f>Source!R88</f>
        <v>4</v>
      </c>
      <c r="L239" s="34"/>
      <c r="R239">
        <f>H239</f>
        <v>0</v>
      </c>
    </row>
    <row r="240" spans="1:26" ht="14.4">
      <c r="A240" s="27"/>
      <c r="B240" s="28"/>
      <c r="C240" s="25" t="s">
        <v>969</v>
      </c>
      <c r="D240" s="30"/>
      <c r="E240" s="10"/>
      <c r="F240" s="32">
        <f>Source!AL88</f>
        <v>523.46</v>
      </c>
      <c r="G240" s="31" t="str">
        <f>Source!DD88</f>
        <v/>
      </c>
      <c r="H240" s="33">
        <f>ROUND(Source!AC88*Source!I88, 0)</f>
        <v>10</v>
      </c>
      <c r="I240" s="31"/>
      <c r="J240" s="31">
        <f>IF(Source!BC88&lt;&gt; 0, Source!BC88, 1)</f>
        <v>3.13</v>
      </c>
      <c r="K240" s="33">
        <f>Source!P88</f>
        <v>33</v>
      </c>
      <c r="L240" s="34"/>
    </row>
    <row r="241" spans="1:26" ht="14.4">
      <c r="A241" s="27"/>
      <c r="B241" s="28"/>
      <c r="C241" s="25" t="s">
        <v>964</v>
      </c>
      <c r="D241" s="30" t="s">
        <v>965</v>
      </c>
      <c r="E241" s="10">
        <f>Source!BZ88</f>
        <v>95</v>
      </c>
      <c r="F241" s="92" t="str">
        <f>CONCATENATE(" )", Source!DL88, Source!FT88, "=", Source!FX88)</f>
        <v xml:space="preserve"> )*0,7=66,5</v>
      </c>
      <c r="G241" s="90"/>
      <c r="H241" s="33">
        <f>SUM(S235:S243)</f>
        <v>9</v>
      </c>
      <c r="I241" s="35"/>
      <c r="J241" s="25">
        <f>Source!AT88</f>
        <v>67</v>
      </c>
      <c r="K241" s="33">
        <f>SUM(T235:T243)</f>
        <v>186</v>
      </c>
      <c r="L241" s="34"/>
    </row>
    <row r="242" spans="1:26" ht="14.4">
      <c r="A242" s="27"/>
      <c r="B242" s="28"/>
      <c r="C242" s="25" t="s">
        <v>966</v>
      </c>
      <c r="D242" s="30" t="s">
        <v>965</v>
      </c>
      <c r="E242" s="10">
        <f>Source!CA88</f>
        <v>65</v>
      </c>
      <c r="F242" s="92" t="str">
        <f>CONCATENATE(" )", Source!DM88, Source!FU88, "=", Source!FY88)</f>
        <v xml:space="preserve"> )*0,9=58,5</v>
      </c>
      <c r="G242" s="90"/>
      <c r="H242" s="33">
        <f>SUM(U235:U243)</f>
        <v>8</v>
      </c>
      <c r="I242" s="35"/>
      <c r="J242" s="25">
        <f>Source!AU88</f>
        <v>59</v>
      </c>
      <c r="K242" s="33">
        <f>SUM(V235:V243)</f>
        <v>163</v>
      </c>
      <c r="L242" s="34"/>
    </row>
    <row r="243" spans="1:26" ht="14.4">
      <c r="A243" s="39"/>
      <c r="B243" s="40"/>
      <c r="C243" s="41" t="s">
        <v>967</v>
      </c>
      <c r="D243" s="42" t="s">
        <v>968</v>
      </c>
      <c r="E243" s="43">
        <f>Source!AQ88</f>
        <v>70.64</v>
      </c>
      <c r="F243" s="44"/>
      <c r="G243" s="45" t="str">
        <f>Source!DI88</f>
        <v/>
      </c>
      <c r="H243" s="46"/>
      <c r="I243" s="45"/>
      <c r="J243" s="45"/>
      <c r="K243" s="46"/>
      <c r="L243" s="47">
        <f>Source!U88</f>
        <v>1.4128000000000001</v>
      </c>
    </row>
    <row r="244" spans="1:26" ht="13.8">
      <c r="G244" s="93">
        <f>ROUND(Source!AC88*Source!I88, 0)+ROUND(Source!AF88*Source!I88, 0)+ROUND(Source!AD88*Source!I88, 0)+SUM(H241:H242)</f>
        <v>45</v>
      </c>
      <c r="H244" s="93"/>
      <c r="J244" s="93">
        <f>Source!O88+SUM(K241:K242)</f>
        <v>689</v>
      </c>
      <c r="K244" s="93"/>
      <c r="L244" s="38">
        <f>Source!U88</f>
        <v>1.4128000000000001</v>
      </c>
      <c r="O244" s="37">
        <f>G244</f>
        <v>45</v>
      </c>
      <c r="P244" s="37">
        <f>J244</f>
        <v>689</v>
      </c>
      <c r="Q244" s="48">
        <f>L244</f>
        <v>1.4128000000000001</v>
      </c>
      <c r="W244">
        <f>IF(Source!BI88&lt;=1,G244, 0)</f>
        <v>0</v>
      </c>
      <c r="X244">
        <f>IF(Source!BI88=2,G244, 0)</f>
        <v>45</v>
      </c>
      <c r="Y244">
        <f>IF(Source!BI88=3,G244, 0)</f>
        <v>0</v>
      </c>
      <c r="Z244">
        <f>IF(Source!BI88=4,G244, 0)</f>
        <v>0</v>
      </c>
    </row>
    <row r="245" spans="1:26" ht="28.2">
      <c r="A245" s="27" t="str">
        <f>Source!E89</f>
        <v>26</v>
      </c>
      <c r="B245" s="28" t="str">
        <f>Source!F89</f>
        <v>509-0765</v>
      </c>
      <c r="C245" s="25" t="str">
        <f>Source!G89</f>
        <v>Светильники потолочные НПП 03-100-001-МУ3</v>
      </c>
      <c r="D245" s="30" t="str">
        <f>Source!H89</f>
        <v>шт.</v>
      </c>
      <c r="E245" s="10">
        <f>Source!I89</f>
        <v>2</v>
      </c>
      <c r="F245" s="32">
        <f>IF(Source!AK89&lt;&gt; 0, Source!AK89,Source!AL89 + Source!AM89 + Source!AO89)</f>
        <v>147.30000000000001</v>
      </c>
      <c r="G245" s="31"/>
      <c r="H245" s="33"/>
      <c r="I245" s="31" t="str">
        <f>Source!BO89</f>
        <v>509-0765</v>
      </c>
      <c r="J245" s="31"/>
      <c r="K245" s="33"/>
      <c r="L245" s="34"/>
      <c r="S245">
        <f>ROUND((Source!FX89/100)*((ROUND(Source!AF89*Source!I89, 0)+ROUND(Source!AE89*Source!I89, 0))), 0)</f>
        <v>0</v>
      </c>
      <c r="T245">
        <f>Source!X89</f>
        <v>0</v>
      </c>
      <c r="U245">
        <f>ROUND((Source!FY89/100)*((ROUND(Source!AF89*Source!I89, 0)+ROUND(Source!AE89*Source!I89, 0))), 0)</f>
        <v>0</v>
      </c>
      <c r="V245">
        <f>Source!Y89</f>
        <v>0</v>
      </c>
    </row>
    <row r="246" spans="1:26" ht="14.4">
      <c r="A246" s="39"/>
      <c r="B246" s="40"/>
      <c r="C246" s="41" t="s">
        <v>969</v>
      </c>
      <c r="D246" s="42"/>
      <c r="E246" s="43"/>
      <c r="F246" s="44">
        <f>Source!AL89</f>
        <v>147.30000000000001</v>
      </c>
      <c r="G246" s="45" t="str">
        <f>Source!DD89</f>
        <v/>
      </c>
      <c r="H246" s="46">
        <f>ROUND(Source!AC89*Source!I89, 0)</f>
        <v>295</v>
      </c>
      <c r="I246" s="45"/>
      <c r="J246" s="45">
        <f>IF(Source!BC89&lt;&gt; 0, Source!BC89, 1)</f>
        <v>4.96</v>
      </c>
      <c r="K246" s="46">
        <f>Source!P89</f>
        <v>1461</v>
      </c>
      <c r="L246" s="52"/>
    </row>
    <row r="247" spans="1:26" ht="13.8">
      <c r="G247" s="93">
        <f>ROUND(Source!AC89*Source!I89, 0)+ROUND(Source!AF89*Source!I89, 0)+ROUND(Source!AD89*Source!I89, 0)</f>
        <v>295</v>
      </c>
      <c r="H247" s="93"/>
      <c r="J247" s="93">
        <f>Source!O89</f>
        <v>1461</v>
      </c>
      <c r="K247" s="93"/>
      <c r="L247" s="38">
        <f>Source!U89</f>
        <v>0</v>
      </c>
      <c r="O247" s="37">
        <f>G247</f>
        <v>295</v>
      </c>
      <c r="P247" s="37">
        <f>J247</f>
        <v>1461</v>
      </c>
      <c r="Q247" s="48">
        <f>L247</f>
        <v>0</v>
      </c>
      <c r="W247">
        <f>IF(Source!BI89&lt;=1,G247, 0)</f>
        <v>0</v>
      </c>
      <c r="X247">
        <f>IF(Source!BI89=2,G247, 0)</f>
        <v>295</v>
      </c>
      <c r="Y247">
        <f>IF(Source!BI89=3,G247, 0)</f>
        <v>0</v>
      </c>
      <c r="Z247">
        <f>IF(Source!BI89=4,G247, 0)</f>
        <v>0</v>
      </c>
    </row>
    <row r="248" spans="1:26" ht="28.2">
      <c r="A248" s="27" t="str">
        <f>Source!E90</f>
        <v>27</v>
      </c>
      <c r="B248" s="28" t="str">
        <f>Source!F90</f>
        <v>17-01-001-14</v>
      </c>
      <c r="C248" s="25" t="str">
        <f>Source!G90</f>
        <v>Установка умывальников одиночных с подводкой холодной и горячей воды</v>
      </c>
      <c r="D248" s="30" t="str">
        <f>Source!H90</f>
        <v>10 компл.</v>
      </c>
      <c r="E248" s="10">
        <f>Source!I90</f>
        <v>0.1</v>
      </c>
      <c r="F248" s="32">
        <f>IF(Source!AK90&lt;&gt; 0, Source!AK90,Source!AL90 + Source!AM90 + Source!AO90)</f>
        <v>2676.2</v>
      </c>
      <c r="G248" s="31"/>
      <c r="H248" s="33"/>
      <c r="I248" s="31" t="str">
        <f>Source!BO90</f>
        <v>17-01-001-14</v>
      </c>
      <c r="J248" s="31"/>
      <c r="K248" s="33"/>
      <c r="L248" s="34"/>
      <c r="S248">
        <f>ROUND((Source!FX90/100)*((ROUND(Source!AF90*Source!I90, 0)+ROUND(Source!AE90*Source!I90, 0))), 0)</f>
        <v>18</v>
      </c>
      <c r="T248">
        <f>Source!X90</f>
        <v>382</v>
      </c>
      <c r="U248">
        <f>ROUND((Source!FY90/100)*((ROUND(Source!AF90*Source!I90, 0)+ROUND(Source!AE90*Source!I90, 0))), 0)</f>
        <v>14</v>
      </c>
      <c r="V248">
        <f>Source!Y90</f>
        <v>297</v>
      </c>
    </row>
    <row r="249" spans="1:26">
      <c r="C249" s="49" t="str">
        <f>"Объем: "&amp;Source!I90&amp;"=1/"&amp;"10"</f>
        <v>Объем: 0,1=1/10</v>
      </c>
    </row>
    <row r="250" spans="1:26" ht="14.4">
      <c r="A250" s="27"/>
      <c r="B250" s="28"/>
      <c r="C250" s="25" t="s">
        <v>962</v>
      </c>
      <c r="D250" s="30"/>
      <c r="E250" s="10"/>
      <c r="F250" s="32">
        <f>Source!AO90</f>
        <v>194.63</v>
      </c>
      <c r="G250" s="31" t="str">
        <f>Source!DG90</f>
        <v>)*1,15</v>
      </c>
      <c r="H250" s="33">
        <f>ROUND(Source!AF90*Source!I90, 0)</f>
        <v>22</v>
      </c>
      <c r="I250" s="31"/>
      <c r="J250" s="31">
        <f>IF(Source!BA90&lt;&gt; 0, Source!BA90, 1)</f>
        <v>20.88</v>
      </c>
      <c r="K250" s="33">
        <f>Source!S90</f>
        <v>467</v>
      </c>
      <c r="L250" s="34"/>
      <c r="R250">
        <f>H250</f>
        <v>22</v>
      </c>
    </row>
    <row r="251" spans="1:26" ht="14.4">
      <c r="A251" s="27"/>
      <c r="B251" s="28"/>
      <c r="C251" s="25" t="s">
        <v>125</v>
      </c>
      <c r="D251" s="30"/>
      <c r="E251" s="10"/>
      <c r="F251" s="32">
        <f>Source!AM90</f>
        <v>24.79</v>
      </c>
      <c r="G251" s="31" t="str">
        <f>Source!DE90</f>
        <v>)*1,25</v>
      </c>
      <c r="H251" s="33">
        <f>ROUND(Source!AD90*Source!I90, 0)</f>
        <v>3</v>
      </c>
      <c r="I251" s="31"/>
      <c r="J251" s="31">
        <f>IF(Source!BB90&lt;&gt; 0, Source!BB90, 1)</f>
        <v>9.2899999999999991</v>
      </c>
      <c r="K251" s="33">
        <f>Source!Q90</f>
        <v>29</v>
      </c>
      <c r="L251" s="34"/>
    </row>
    <row r="252" spans="1:26" ht="14.4">
      <c r="A252" s="27"/>
      <c r="B252" s="28"/>
      <c r="C252" s="25" t="s">
        <v>963</v>
      </c>
      <c r="D252" s="30"/>
      <c r="E252" s="10"/>
      <c r="F252" s="32">
        <f>Source!AN90</f>
        <v>1.57</v>
      </c>
      <c r="G252" s="31" t="str">
        <f>Source!DF90</f>
        <v>)*1,25</v>
      </c>
      <c r="H252" s="33">
        <f>ROUND(Source!AE90*Source!I90, 0)</f>
        <v>0</v>
      </c>
      <c r="I252" s="31"/>
      <c r="J252" s="31">
        <f>IF(Source!BS90&lt;&gt; 0, Source!BS90, 1)</f>
        <v>20.88</v>
      </c>
      <c r="K252" s="33">
        <f>Source!R90</f>
        <v>4</v>
      </c>
      <c r="L252" s="34"/>
      <c r="R252">
        <f>H252</f>
        <v>0</v>
      </c>
    </row>
    <row r="253" spans="1:26" ht="14.4">
      <c r="A253" s="27"/>
      <c r="B253" s="28"/>
      <c r="C253" s="25" t="s">
        <v>964</v>
      </c>
      <c r="D253" s="30" t="s">
        <v>965</v>
      </c>
      <c r="E253" s="10">
        <f>Source!BZ90</f>
        <v>128</v>
      </c>
      <c r="F253" s="92" t="str">
        <f>CONCATENATE(" )", Source!DL90, Source!FT90, "=", Source!FX90)</f>
        <v xml:space="preserve"> )*0,9*0,7=80,64</v>
      </c>
      <c r="G253" s="90"/>
      <c r="H253" s="33">
        <f>SUM(S248:S255)</f>
        <v>18</v>
      </c>
      <c r="I253" s="35"/>
      <c r="J253" s="25">
        <f>Source!AT90</f>
        <v>81</v>
      </c>
      <c r="K253" s="33">
        <f>SUM(T248:T255)</f>
        <v>382</v>
      </c>
      <c r="L253" s="34"/>
    </row>
    <row r="254" spans="1:26" ht="14.4">
      <c r="A254" s="27"/>
      <c r="B254" s="28"/>
      <c r="C254" s="25" t="s">
        <v>966</v>
      </c>
      <c r="D254" s="30" t="s">
        <v>965</v>
      </c>
      <c r="E254" s="10">
        <f>Source!CA90</f>
        <v>83</v>
      </c>
      <c r="F254" s="92" t="str">
        <f>CONCATENATE(" )", Source!DM90, Source!FU90, "=", Source!FY90)</f>
        <v xml:space="preserve"> )*0,85*0,9=63,495</v>
      </c>
      <c r="G254" s="90"/>
      <c r="H254" s="33">
        <f>SUM(U248:U255)</f>
        <v>14</v>
      </c>
      <c r="I254" s="35"/>
      <c r="J254" s="25">
        <f>Source!AU90</f>
        <v>63</v>
      </c>
      <c r="K254" s="33">
        <f>SUM(V248:V255)</f>
        <v>297</v>
      </c>
      <c r="L254" s="34"/>
    </row>
    <row r="255" spans="1:26" ht="14.4">
      <c r="A255" s="39"/>
      <c r="B255" s="40"/>
      <c r="C255" s="41" t="s">
        <v>967</v>
      </c>
      <c r="D255" s="42" t="s">
        <v>968</v>
      </c>
      <c r="E255" s="43">
        <f>Source!AQ90</f>
        <v>21.65</v>
      </c>
      <c r="F255" s="44"/>
      <c r="G255" s="45" t="str">
        <f>Source!DI90</f>
        <v>)*1,15</v>
      </c>
      <c r="H255" s="46"/>
      <c r="I255" s="45"/>
      <c r="J255" s="45"/>
      <c r="K255" s="46"/>
      <c r="L255" s="47">
        <f>Source!U90</f>
        <v>2.4897499999999999</v>
      </c>
    </row>
    <row r="256" spans="1:26" ht="13.8">
      <c r="G256" s="93">
        <f>ROUND(Source!AC90*Source!I90, 0)+ROUND(Source!AF90*Source!I90, 0)+ROUND(Source!AD90*Source!I90, 0)+SUM(H253:H254)</f>
        <v>57</v>
      </c>
      <c r="H256" s="93"/>
      <c r="J256" s="93">
        <f>Source!O90+SUM(K253:K254)</f>
        <v>1175</v>
      </c>
      <c r="K256" s="93"/>
      <c r="L256" s="38">
        <f>Source!U90</f>
        <v>2.4897499999999999</v>
      </c>
      <c r="O256" s="37">
        <f>G256</f>
        <v>57</v>
      </c>
      <c r="P256" s="37">
        <f>J256</f>
        <v>1175</v>
      </c>
      <c r="Q256" s="48">
        <f>L256</f>
        <v>2.4897499999999999</v>
      </c>
      <c r="W256">
        <f>IF(Source!BI90&lt;=1,G256, 0)</f>
        <v>57</v>
      </c>
      <c r="X256">
        <f>IF(Source!BI90=2,G256, 0)</f>
        <v>0</v>
      </c>
      <c r="Y256">
        <f>IF(Source!BI90=3,G256, 0)</f>
        <v>0</v>
      </c>
      <c r="Z256">
        <f>IF(Source!BI90=4,G256, 0)</f>
        <v>0</v>
      </c>
    </row>
    <row r="257" spans="1:26" ht="28.2">
      <c r="A257" s="27" t="str">
        <f>Source!E91</f>
        <v>28</v>
      </c>
      <c r="B257" s="28" t="str">
        <f>Source!F91</f>
        <v>17-01-003-1</v>
      </c>
      <c r="C257" s="25" t="str">
        <f>Source!G91</f>
        <v>Установка унитазов с бачком непосредственно присоединенным</v>
      </c>
      <c r="D257" s="30" t="str">
        <f>Source!H91</f>
        <v>10 компл.</v>
      </c>
      <c r="E257" s="10">
        <f>Source!I91</f>
        <v>0.1</v>
      </c>
      <c r="F257" s="32">
        <f>IF(Source!AK91&lt;&gt; 0, Source!AK91,Source!AL91 + Source!AM91 + Source!AO91)</f>
        <v>5748.5</v>
      </c>
      <c r="G257" s="31"/>
      <c r="H257" s="33"/>
      <c r="I257" s="31" t="str">
        <f>Source!BO91</f>
        <v>17-01-003-1</v>
      </c>
      <c r="J257" s="31"/>
      <c r="K257" s="33"/>
      <c r="L257" s="34"/>
      <c r="S257">
        <f>ROUND((Source!FX91/100)*((ROUND(Source!AF91*Source!I91, 0)+ROUND(Source!AE91*Source!I91, 0))), 0)</f>
        <v>20</v>
      </c>
      <c r="T257">
        <f>Source!X91</f>
        <v>434</v>
      </c>
      <c r="U257">
        <f>ROUND((Source!FY91/100)*((ROUND(Source!AF91*Source!I91, 0)+ROUND(Source!AE91*Source!I91, 0))), 0)</f>
        <v>16</v>
      </c>
      <c r="V257">
        <f>Source!Y91</f>
        <v>338</v>
      </c>
    </row>
    <row r="258" spans="1:26">
      <c r="C258" s="49" t="str">
        <f>"Объем: "&amp;Source!I91&amp;"=1/"&amp;"10"</f>
        <v>Объем: 0,1=1/10</v>
      </c>
    </row>
    <row r="259" spans="1:26" ht="14.4">
      <c r="A259" s="27"/>
      <c r="B259" s="28"/>
      <c r="C259" s="25" t="s">
        <v>962</v>
      </c>
      <c r="D259" s="30"/>
      <c r="E259" s="10"/>
      <c r="F259" s="32">
        <f>Source!AO91</f>
        <v>219.05</v>
      </c>
      <c r="G259" s="31" t="str">
        <f>Source!DG91</f>
        <v>)*1,15</v>
      </c>
      <c r="H259" s="33">
        <f>ROUND(Source!AF91*Source!I91, 0)</f>
        <v>25</v>
      </c>
      <c r="I259" s="31"/>
      <c r="J259" s="31">
        <f>IF(Source!BA91&lt;&gt; 0, Source!BA91, 1)</f>
        <v>20.88</v>
      </c>
      <c r="K259" s="33">
        <f>Source!S91</f>
        <v>526</v>
      </c>
      <c r="L259" s="34"/>
      <c r="R259">
        <f>H259</f>
        <v>25</v>
      </c>
    </row>
    <row r="260" spans="1:26" ht="14.4">
      <c r="A260" s="27"/>
      <c r="B260" s="28"/>
      <c r="C260" s="25" t="s">
        <v>125</v>
      </c>
      <c r="D260" s="30"/>
      <c r="E260" s="10"/>
      <c r="F260" s="32">
        <f>Source!AM91</f>
        <v>46.49</v>
      </c>
      <c r="G260" s="31" t="str">
        <f>Source!DE91</f>
        <v>)*1,25</v>
      </c>
      <c r="H260" s="33">
        <f>ROUND(Source!AD91*Source!I91, 0)</f>
        <v>6</v>
      </c>
      <c r="I260" s="31"/>
      <c r="J260" s="31">
        <f>IF(Source!BB91&lt;&gt; 0, Source!BB91, 1)</f>
        <v>9.3800000000000008</v>
      </c>
      <c r="K260" s="33">
        <f>Source!Q91</f>
        <v>55</v>
      </c>
      <c r="L260" s="34"/>
    </row>
    <row r="261" spans="1:26" ht="14.4">
      <c r="A261" s="27"/>
      <c r="B261" s="28"/>
      <c r="C261" s="25" t="s">
        <v>963</v>
      </c>
      <c r="D261" s="30"/>
      <c r="E261" s="10"/>
      <c r="F261" s="32">
        <f>Source!AN91</f>
        <v>3.87</v>
      </c>
      <c r="G261" s="31" t="str">
        <f>Source!DF91</f>
        <v>)*1,25</v>
      </c>
      <c r="H261" s="33">
        <f>ROUND(Source!AE91*Source!I91, 0)</f>
        <v>0</v>
      </c>
      <c r="I261" s="31"/>
      <c r="J261" s="31">
        <f>IF(Source!BS91&lt;&gt; 0, Source!BS91, 1)</f>
        <v>20.88</v>
      </c>
      <c r="K261" s="33">
        <f>Source!R91</f>
        <v>10</v>
      </c>
      <c r="L261" s="34"/>
      <c r="R261">
        <f>H261</f>
        <v>0</v>
      </c>
    </row>
    <row r="262" spans="1:26" ht="14.4">
      <c r="A262" s="27"/>
      <c r="B262" s="28"/>
      <c r="C262" s="25" t="s">
        <v>964</v>
      </c>
      <c r="D262" s="30" t="s">
        <v>965</v>
      </c>
      <c r="E262" s="10">
        <f>Source!BZ91</f>
        <v>128</v>
      </c>
      <c r="F262" s="92" t="str">
        <f>CONCATENATE(" )", Source!DL91, Source!FT91, "=", Source!FX91)</f>
        <v xml:space="preserve"> )*0,9*0,7=80,64</v>
      </c>
      <c r="G262" s="90"/>
      <c r="H262" s="33">
        <f>SUM(S257:S264)</f>
        <v>20</v>
      </c>
      <c r="I262" s="35"/>
      <c r="J262" s="25">
        <f>Source!AT91</f>
        <v>81</v>
      </c>
      <c r="K262" s="33">
        <f>SUM(T257:T264)</f>
        <v>434</v>
      </c>
      <c r="L262" s="34"/>
    </row>
    <row r="263" spans="1:26" ht="14.4">
      <c r="A263" s="27"/>
      <c r="B263" s="28"/>
      <c r="C263" s="25" t="s">
        <v>966</v>
      </c>
      <c r="D263" s="30" t="s">
        <v>965</v>
      </c>
      <c r="E263" s="10">
        <f>Source!CA91</f>
        <v>83</v>
      </c>
      <c r="F263" s="92" t="str">
        <f>CONCATENATE(" )", Source!DM91, Source!FU91, "=", Source!FY91)</f>
        <v xml:space="preserve"> )*0,85*0,9=63,495</v>
      </c>
      <c r="G263" s="90"/>
      <c r="H263" s="33">
        <f>SUM(U257:U264)</f>
        <v>16</v>
      </c>
      <c r="I263" s="35"/>
      <c r="J263" s="25">
        <f>Source!AU91</f>
        <v>63</v>
      </c>
      <c r="K263" s="33">
        <f>SUM(V257:V264)</f>
        <v>338</v>
      </c>
      <c r="L263" s="34"/>
    </row>
    <row r="264" spans="1:26" ht="14.4">
      <c r="A264" s="39"/>
      <c r="B264" s="40"/>
      <c r="C264" s="41" t="s">
        <v>967</v>
      </c>
      <c r="D264" s="42" t="s">
        <v>968</v>
      </c>
      <c r="E264" s="43">
        <f>Source!AQ91</f>
        <v>24.64</v>
      </c>
      <c r="F264" s="44"/>
      <c r="G264" s="45" t="str">
        <f>Source!DI91</f>
        <v>)*1,15</v>
      </c>
      <c r="H264" s="46"/>
      <c r="I264" s="45"/>
      <c r="J264" s="45"/>
      <c r="K264" s="46"/>
      <c r="L264" s="47">
        <f>Source!U91</f>
        <v>2.8336000000000001</v>
      </c>
    </row>
    <row r="265" spans="1:26" ht="13.8">
      <c r="G265" s="93">
        <f>ROUND(Source!AC91*Source!I91, 0)+ROUND(Source!AF91*Source!I91, 0)+ROUND(Source!AD91*Source!I91, 0)+SUM(H262:H263)</f>
        <v>67</v>
      </c>
      <c r="H265" s="93"/>
      <c r="J265" s="93">
        <f>Source!O91+SUM(K262:K263)</f>
        <v>1353</v>
      </c>
      <c r="K265" s="93"/>
      <c r="L265" s="38">
        <f>Source!U91</f>
        <v>2.8336000000000001</v>
      </c>
      <c r="O265" s="37">
        <f>G265</f>
        <v>67</v>
      </c>
      <c r="P265" s="37">
        <f>J265</f>
        <v>1353</v>
      </c>
      <c r="Q265" s="48">
        <f>L265</f>
        <v>2.8336000000000001</v>
      </c>
      <c r="W265">
        <f>IF(Source!BI91&lt;=1,G265, 0)</f>
        <v>67</v>
      </c>
      <c r="X265">
        <f>IF(Source!BI91=2,G265, 0)</f>
        <v>0</v>
      </c>
      <c r="Y265">
        <f>IF(Source!BI91=3,G265, 0)</f>
        <v>0</v>
      </c>
      <c r="Z265">
        <f>IF(Source!BI91=4,G265, 0)</f>
        <v>0</v>
      </c>
    </row>
    <row r="266" spans="1:26" ht="43.2">
      <c r="A266" s="27" t="str">
        <f>Source!E92</f>
        <v>29</v>
      </c>
      <c r="B266" s="28" t="str">
        <f>Source!F92</f>
        <v>10-01-039-1</v>
      </c>
      <c r="C266" s="25" t="str">
        <f>Source!G92</f>
        <v>Установка блоков в наружных и внутренних дверных проемах в каменных стенах, площадь проема до 3 м2</v>
      </c>
      <c r="D266" s="30" t="str">
        <f>Source!H92</f>
        <v>100 М2 ПРОЕМОВ</v>
      </c>
      <c r="E266" s="10">
        <f>Source!I92</f>
        <v>2.1000000000000001E-2</v>
      </c>
      <c r="F266" s="32">
        <f>IF(Source!AK92&lt;&gt; 0, Source!AK92,Source!AL92 + Source!AM92 + Source!AO92)</f>
        <v>25859.68</v>
      </c>
      <c r="G266" s="31"/>
      <c r="H266" s="33"/>
      <c r="I266" s="31" t="str">
        <f>Source!BO92</f>
        <v>10-01-039-1</v>
      </c>
      <c r="J266" s="31"/>
      <c r="K266" s="33"/>
      <c r="L266" s="34"/>
      <c r="S266">
        <f>ROUND((Source!FX92/100)*((ROUND(Source!AF92*Source!I92, 0)+ROUND(Source!AE92*Source!I92, 0))), 0)</f>
        <v>19</v>
      </c>
      <c r="T266">
        <f>Source!X92</f>
        <v>389</v>
      </c>
      <c r="U266">
        <f>ROUND((Source!FY92/100)*((ROUND(Source!AF92*Source!I92, 0)+ROUND(Source!AE92*Source!I92, 0))), 0)</f>
        <v>13</v>
      </c>
      <c r="V266">
        <f>Source!Y92</f>
        <v>252</v>
      </c>
    </row>
    <row r="267" spans="1:26">
      <c r="C267" s="49" t="str">
        <f>"Объем: "&amp;Source!I92&amp;"=2,1/"&amp;"100"</f>
        <v>Объем: 0,021=2,1/100</v>
      </c>
    </row>
    <row r="268" spans="1:26" ht="14.4">
      <c r="A268" s="27"/>
      <c r="B268" s="28"/>
      <c r="C268" s="25" t="s">
        <v>962</v>
      </c>
      <c r="D268" s="30"/>
      <c r="E268" s="10"/>
      <c r="F268" s="32">
        <f>Source!AO92</f>
        <v>894.72</v>
      </c>
      <c r="G268" s="31" t="str">
        <f>Source!DG92</f>
        <v>)*1,15</v>
      </c>
      <c r="H268" s="33">
        <f>ROUND(Source!AF92*Source!I92, 0)</f>
        <v>22</v>
      </c>
      <c r="I268" s="31"/>
      <c r="J268" s="31">
        <f>IF(Source!BA92&lt;&gt; 0, Source!BA92, 1)</f>
        <v>20.88</v>
      </c>
      <c r="K268" s="33">
        <f>Source!S92</f>
        <v>451</v>
      </c>
      <c r="L268" s="34"/>
      <c r="R268">
        <f>H268</f>
        <v>22</v>
      </c>
    </row>
    <row r="269" spans="1:26" ht="14.4">
      <c r="A269" s="27"/>
      <c r="B269" s="28"/>
      <c r="C269" s="25" t="s">
        <v>125</v>
      </c>
      <c r="D269" s="30"/>
      <c r="E269" s="10"/>
      <c r="F269" s="32">
        <f>Source!AM92</f>
        <v>1450.9</v>
      </c>
      <c r="G269" s="31" t="str">
        <f>Source!DE92</f>
        <v>)*1,25</v>
      </c>
      <c r="H269" s="33">
        <f>ROUND(Source!AD92*Source!I92, 0)</f>
        <v>38</v>
      </c>
      <c r="I269" s="31"/>
      <c r="J269" s="31">
        <f>IF(Source!BB92&lt;&gt; 0, Source!BB92, 1)</f>
        <v>7.28</v>
      </c>
      <c r="K269" s="33">
        <f>Source!Q92</f>
        <v>277</v>
      </c>
      <c r="L269" s="34"/>
    </row>
    <row r="270" spans="1:26" ht="14.4">
      <c r="A270" s="27"/>
      <c r="B270" s="28"/>
      <c r="C270" s="25" t="s">
        <v>963</v>
      </c>
      <c r="D270" s="30"/>
      <c r="E270" s="10"/>
      <c r="F270" s="32">
        <f>Source!AN92</f>
        <v>137.34</v>
      </c>
      <c r="G270" s="31" t="str">
        <f>Source!DF92</f>
        <v>)*1,25</v>
      </c>
      <c r="H270" s="33">
        <f>ROUND(Source!AE92*Source!I92, 0)</f>
        <v>4</v>
      </c>
      <c r="I270" s="31"/>
      <c r="J270" s="31">
        <f>IF(Source!BS92&lt;&gt; 0, Source!BS92, 1)</f>
        <v>20.88</v>
      </c>
      <c r="K270" s="33">
        <f>Source!R92</f>
        <v>75</v>
      </c>
      <c r="L270" s="34"/>
      <c r="R270">
        <f>H270</f>
        <v>4</v>
      </c>
    </row>
    <row r="271" spans="1:26" ht="14.4">
      <c r="A271" s="27"/>
      <c r="B271" s="28"/>
      <c r="C271" s="25" t="s">
        <v>969</v>
      </c>
      <c r="D271" s="30"/>
      <c r="E271" s="10"/>
      <c r="F271" s="32">
        <f>Source!AL92</f>
        <v>23514.06</v>
      </c>
      <c r="G271" s="31" t="str">
        <f>Source!DD92</f>
        <v/>
      </c>
      <c r="H271" s="33">
        <f>ROUND(Source!AC92*Source!I92, 0)</f>
        <v>494</v>
      </c>
      <c r="I271" s="31"/>
      <c r="J271" s="31">
        <f>IF(Source!BC92&lt;&gt; 0, Source!BC92, 1)</f>
        <v>6.18</v>
      </c>
      <c r="K271" s="33">
        <f>Source!P92</f>
        <v>3052</v>
      </c>
      <c r="L271" s="34"/>
    </row>
    <row r="272" spans="1:26" ht="14.4">
      <c r="A272" s="27"/>
      <c r="B272" s="28"/>
      <c r="C272" s="25" t="s">
        <v>964</v>
      </c>
      <c r="D272" s="30" t="s">
        <v>965</v>
      </c>
      <c r="E272" s="10">
        <f>Source!BZ92</f>
        <v>118</v>
      </c>
      <c r="F272" s="92" t="str">
        <f>CONCATENATE(" )", Source!DL92, Source!FT92, "=", Source!FX92)</f>
        <v xml:space="preserve"> )*0,9*0,7=74,34</v>
      </c>
      <c r="G272" s="90"/>
      <c r="H272" s="33">
        <f>SUM(S266:S275)</f>
        <v>19</v>
      </c>
      <c r="I272" s="35"/>
      <c r="J272" s="25">
        <f>Source!AT92</f>
        <v>74</v>
      </c>
      <c r="K272" s="33">
        <f>SUM(T266:T275)</f>
        <v>389</v>
      </c>
      <c r="L272" s="34"/>
    </row>
    <row r="273" spans="1:28" ht="14.4">
      <c r="A273" s="27"/>
      <c r="B273" s="28"/>
      <c r="C273" s="25" t="s">
        <v>966</v>
      </c>
      <c r="D273" s="30" t="s">
        <v>965</v>
      </c>
      <c r="E273" s="10">
        <f>Source!CA92</f>
        <v>63</v>
      </c>
      <c r="F273" s="92" t="str">
        <f>CONCATENATE(" )", Source!DM92, Source!FU92, "=", Source!FY92)</f>
        <v xml:space="preserve"> )*0,85*0,9=48,195</v>
      </c>
      <c r="G273" s="90"/>
      <c r="H273" s="33">
        <f>SUM(U266:U275)</f>
        <v>13</v>
      </c>
      <c r="I273" s="35"/>
      <c r="J273" s="25">
        <f>Source!AU92</f>
        <v>48</v>
      </c>
      <c r="K273" s="33">
        <f>SUM(V266:V275)</f>
        <v>252</v>
      </c>
      <c r="L273" s="34"/>
    </row>
    <row r="274" spans="1:28" ht="14.4">
      <c r="A274" s="27"/>
      <c r="B274" s="28"/>
      <c r="C274" s="25" t="s">
        <v>967</v>
      </c>
      <c r="D274" s="30" t="s">
        <v>968</v>
      </c>
      <c r="E274" s="10">
        <f>Source!AQ92</f>
        <v>104.28</v>
      </c>
      <c r="F274" s="32"/>
      <c r="G274" s="31" t="str">
        <f>Source!DI92</f>
        <v>)*1,15</v>
      </c>
      <c r="H274" s="33"/>
      <c r="I274" s="31"/>
      <c r="J274" s="31"/>
      <c r="K274" s="33"/>
      <c r="L274" s="36">
        <f>Source!U92</f>
        <v>2.5183620000000002</v>
      </c>
    </row>
    <row r="275" spans="1:28" ht="43.2">
      <c r="A275" s="53" t="str">
        <f>Source!E93</f>
        <v>29,1</v>
      </c>
      <c r="B275" s="53" t="str">
        <f>Source!F93</f>
        <v>203-0223</v>
      </c>
      <c r="C275" s="53" t="str">
        <f>Source!G93</f>
        <v>Блоки дверные с рамочными полотнами однопольные ДН 21-10, площадь 2,05 м2; ДН 24-10, площадь 2,35 м2</v>
      </c>
      <c r="D275" s="54" t="str">
        <f>Source!H93</f>
        <v>м2</v>
      </c>
      <c r="E275" s="55">
        <f>Source!I93</f>
        <v>-2.1</v>
      </c>
      <c r="F275" s="56">
        <f>Source!AK93</f>
        <v>208.29</v>
      </c>
      <c r="G275" s="57" t="s">
        <v>3</v>
      </c>
      <c r="H275" s="58">
        <f>ROUND(Source!AC93*Source!I93, 0)+ROUND(Source!AD93*Source!I93, 0)+ROUND(Source!AF93*Source!I93, 0)</f>
        <v>-437</v>
      </c>
      <c r="I275" s="54"/>
      <c r="J275" s="54">
        <f>IF(Source!BC93&lt;&gt; 0, Source!BC93, 1)</f>
        <v>6.33</v>
      </c>
      <c r="K275" s="58">
        <f>Source!O93</f>
        <v>-2769</v>
      </c>
      <c r="L275" s="56"/>
      <c r="S275">
        <f>ROUND((Source!FX93/100)*((ROUND(Source!AF93*Source!I93, 0)+ROUND(Source!AE93*Source!I93, 0))), 0)</f>
        <v>0</v>
      </c>
      <c r="T275">
        <f>Source!X93</f>
        <v>0</v>
      </c>
      <c r="U275">
        <f>ROUND((Source!FY93/100)*((ROUND(Source!AF93*Source!I93, 0)+ROUND(Source!AE93*Source!I93, 0))), 0)</f>
        <v>0</v>
      </c>
      <c r="V275">
        <f>Source!Y93</f>
        <v>0</v>
      </c>
      <c r="Y275">
        <f>IF(Source!BI93=3,H275, 0)</f>
        <v>0</v>
      </c>
      <c r="AA275">
        <f>ROUND(Source!AC93*Source!I93, 0)+ROUND(Source!AD93*Source!I93, 0)+ROUND(Source!AF93*Source!I93, 0)</f>
        <v>-437</v>
      </c>
      <c r="AB275">
        <f>Source!O93</f>
        <v>-2769</v>
      </c>
    </row>
    <row r="276" spans="1:28" ht="13.8">
      <c r="G276" s="93">
        <f>ROUND(Source!AC92*Source!I92, 0)+ROUND(Source!AF92*Source!I92, 0)+ROUND(Source!AD92*Source!I92, 0)+SUM(H272:H273)+SUM(AA275:AA275)</f>
        <v>149</v>
      </c>
      <c r="H276" s="93"/>
      <c r="J276" s="93">
        <f>Source!O92+SUM(K272:K273)+SUM(AB275:AB275)</f>
        <v>1652</v>
      </c>
      <c r="K276" s="93"/>
      <c r="L276" s="38">
        <f>Source!U92</f>
        <v>2.5183620000000002</v>
      </c>
      <c r="O276" s="37">
        <f>G276</f>
        <v>149</v>
      </c>
      <c r="P276" s="37">
        <f>J276</f>
        <v>1652</v>
      </c>
      <c r="Q276" s="48">
        <f>L276</f>
        <v>2.5183620000000002</v>
      </c>
      <c r="W276">
        <f>IF(Source!BI92&lt;=1,G276, 0)</f>
        <v>149</v>
      </c>
      <c r="X276">
        <f>IF(Source!BI92=2,G276, 0)</f>
        <v>0</v>
      </c>
      <c r="Y276">
        <f>IF(Source!BI92=3,G276, 0)</f>
        <v>0</v>
      </c>
      <c r="Z276">
        <f>IF(Source!BI92=4,G276, 0)</f>
        <v>0</v>
      </c>
    </row>
    <row r="277" spans="1:28" ht="42">
      <c r="A277" s="27" t="str">
        <f>Source!E94</f>
        <v>30</v>
      </c>
      <c r="B277" s="28" t="str">
        <f>Source!F94</f>
        <v>203-8095</v>
      </c>
      <c r="C277" s="25" t="str">
        <f>Source!G94</f>
        <v>Блоки дверные внутренние однопольные глухие шлифованные, из массива сосны, тонированные</v>
      </c>
      <c r="D277" s="30" t="str">
        <f>Source!H94</f>
        <v>м2</v>
      </c>
      <c r="E277" s="10">
        <f>Source!I94</f>
        <v>2.1</v>
      </c>
      <c r="F277" s="32">
        <f>IF(Source!AK94&lt;&gt; 0, Source!AK94,Source!AL94 + Source!AM94 + Source!AO94)</f>
        <v>1470.52</v>
      </c>
      <c r="G277" s="31"/>
      <c r="H277" s="33"/>
      <c r="I277" s="31" t="str">
        <f>Source!BO94</f>
        <v>203-8095</v>
      </c>
      <c r="J277" s="31"/>
      <c r="K277" s="33"/>
      <c r="L277" s="34"/>
      <c r="S277">
        <f>ROUND((Source!FX94/100)*((ROUND(Source!AF94*Source!I94, 0)+ROUND(Source!AE94*Source!I94, 0))), 0)</f>
        <v>0</v>
      </c>
      <c r="T277">
        <f>Source!X94</f>
        <v>0</v>
      </c>
      <c r="U277">
        <f>ROUND((Source!FY94/100)*((ROUND(Source!AF94*Source!I94, 0)+ROUND(Source!AE94*Source!I94, 0))), 0)</f>
        <v>0</v>
      </c>
      <c r="V277">
        <f>Source!Y94</f>
        <v>0</v>
      </c>
    </row>
    <row r="278" spans="1:28" ht="14.4">
      <c r="A278" s="39"/>
      <c r="B278" s="40"/>
      <c r="C278" s="41" t="s">
        <v>969</v>
      </c>
      <c r="D278" s="42"/>
      <c r="E278" s="43"/>
      <c r="F278" s="44">
        <f>Source!AL94</f>
        <v>1470.52</v>
      </c>
      <c r="G278" s="45" t="str">
        <f>Source!DD94</f>
        <v/>
      </c>
      <c r="H278" s="46">
        <f>ROUND(Source!AC94*Source!I94, 0)</f>
        <v>3088</v>
      </c>
      <c r="I278" s="45"/>
      <c r="J278" s="45">
        <f>IF(Source!BC94&lt;&gt; 0, Source!BC94, 1)</f>
        <v>3.15</v>
      </c>
      <c r="K278" s="46">
        <f>Source!P94</f>
        <v>9727</v>
      </c>
      <c r="L278" s="52"/>
    </row>
    <row r="279" spans="1:28" ht="13.8">
      <c r="G279" s="93">
        <f>ROUND(Source!AC94*Source!I94, 0)+ROUND(Source!AF94*Source!I94, 0)+ROUND(Source!AD94*Source!I94, 0)</f>
        <v>3088</v>
      </c>
      <c r="H279" s="93"/>
      <c r="J279" s="93">
        <f>Source!O94</f>
        <v>9727</v>
      </c>
      <c r="K279" s="93"/>
      <c r="L279" s="38">
        <f>Source!U94</f>
        <v>0</v>
      </c>
      <c r="O279" s="37">
        <f>G279</f>
        <v>3088</v>
      </c>
      <c r="P279" s="37">
        <f>J279</f>
        <v>9727</v>
      </c>
      <c r="Q279" s="48">
        <f>L279</f>
        <v>0</v>
      </c>
      <c r="W279">
        <f>IF(Source!BI94&lt;=1,G279, 0)</f>
        <v>3088</v>
      </c>
      <c r="X279">
        <f>IF(Source!BI94=2,G279, 0)</f>
        <v>0</v>
      </c>
      <c r="Y279">
        <f>IF(Source!BI94=3,G279, 0)</f>
        <v>0</v>
      </c>
      <c r="Z279">
        <f>IF(Source!BI94=4,G279, 0)</f>
        <v>0</v>
      </c>
    </row>
    <row r="280" spans="1:28" ht="28.2">
      <c r="A280" s="27" t="str">
        <f>Source!E95</f>
        <v>31</v>
      </c>
      <c r="B280" s="28" t="str">
        <f>Source!F95</f>
        <v>101-0950</v>
      </c>
      <c r="C280" s="25" t="str">
        <f>Source!G95</f>
        <v>Замок врезной оцинкованный с цилиндровым механизмом</v>
      </c>
      <c r="D280" s="30" t="str">
        <f>Source!H95</f>
        <v>компл.</v>
      </c>
      <c r="E280" s="10">
        <f>Source!I95</f>
        <v>1</v>
      </c>
      <c r="F280" s="32">
        <f>IF(Source!AK95&lt;&gt; 0, Source!AK95,Source!AL95 + Source!AM95 + Source!AO95)</f>
        <v>75.7</v>
      </c>
      <c r="G280" s="31"/>
      <c r="H280" s="33"/>
      <c r="I280" s="31" t="str">
        <f>Source!BO95</f>
        <v>101-0950</v>
      </c>
      <c r="J280" s="31"/>
      <c r="K280" s="33"/>
      <c r="L280" s="34"/>
      <c r="S280">
        <f>ROUND((Source!FX95/100)*((ROUND(Source!AF95*Source!I95, 0)+ROUND(Source!AE95*Source!I95, 0))), 0)</f>
        <v>0</v>
      </c>
      <c r="T280">
        <f>Source!X95</f>
        <v>0</v>
      </c>
      <c r="U280">
        <f>ROUND((Source!FY95/100)*((ROUND(Source!AF95*Source!I95, 0)+ROUND(Source!AE95*Source!I95, 0))), 0)</f>
        <v>0</v>
      </c>
      <c r="V280">
        <f>Source!Y95</f>
        <v>0</v>
      </c>
    </row>
    <row r="281" spans="1:28" ht="14.4">
      <c r="A281" s="39"/>
      <c r="B281" s="40"/>
      <c r="C281" s="41" t="s">
        <v>969</v>
      </c>
      <c r="D281" s="42"/>
      <c r="E281" s="43"/>
      <c r="F281" s="44">
        <f>Source!AL95</f>
        <v>75.7</v>
      </c>
      <c r="G281" s="45" t="str">
        <f>Source!DD95</f>
        <v/>
      </c>
      <c r="H281" s="46">
        <f>ROUND(Source!AC95*Source!I95, 0)</f>
        <v>76</v>
      </c>
      <c r="I281" s="45"/>
      <c r="J281" s="45">
        <f>IF(Source!BC95&lt;&gt; 0, Source!BC95, 1)</f>
        <v>4.47</v>
      </c>
      <c r="K281" s="46">
        <f>Source!P95</f>
        <v>338</v>
      </c>
      <c r="L281" s="52"/>
    </row>
    <row r="282" spans="1:28" ht="13.8">
      <c r="G282" s="93">
        <f>ROUND(Source!AC95*Source!I95, 0)+ROUND(Source!AF95*Source!I95, 0)+ROUND(Source!AD95*Source!I95, 0)</f>
        <v>76</v>
      </c>
      <c r="H282" s="93"/>
      <c r="J282" s="93">
        <f>Source!O95</f>
        <v>338</v>
      </c>
      <c r="K282" s="93"/>
      <c r="L282" s="38">
        <f>Source!U95</f>
        <v>0</v>
      </c>
      <c r="O282" s="37">
        <f>G282</f>
        <v>76</v>
      </c>
      <c r="P282" s="37">
        <f>J282</f>
        <v>338</v>
      </c>
      <c r="Q282" s="48">
        <f>L282</f>
        <v>0</v>
      </c>
      <c r="W282">
        <f>IF(Source!BI95&lt;=1,G282, 0)</f>
        <v>76</v>
      </c>
      <c r="X282">
        <f>IF(Source!BI95=2,G282, 0)</f>
        <v>0</v>
      </c>
      <c r="Y282">
        <f>IF(Source!BI95=3,G282, 0)</f>
        <v>0</v>
      </c>
      <c r="Z282">
        <f>IF(Source!BI95=4,G282, 0)</f>
        <v>0</v>
      </c>
    </row>
    <row r="283" spans="1:28" ht="43.2">
      <c r="A283" s="27" t="str">
        <f>Source!E96</f>
        <v>32</v>
      </c>
      <c r="B283" s="28" t="str">
        <f>Source!F96</f>
        <v>10-01-060-1</v>
      </c>
      <c r="C283" s="25" t="str">
        <f>Source!G96</f>
        <v>Установка и крепление наличников</v>
      </c>
      <c r="D283" s="30" t="str">
        <f>Source!H96</f>
        <v>100 м коробок блоков</v>
      </c>
      <c r="E283" s="10">
        <f>Source!I96</f>
        <v>5.1999999999999998E-2</v>
      </c>
      <c r="F283" s="32">
        <f>IF(Source!AK96&lt;&gt; 0, Source!AK96,Source!AL96 + Source!AM96 + Source!AO96)</f>
        <v>516.04</v>
      </c>
      <c r="G283" s="31"/>
      <c r="H283" s="33"/>
      <c r="I283" s="31" t="str">
        <f>Source!BO96</f>
        <v>10-01-060-1</v>
      </c>
      <c r="J283" s="31"/>
      <c r="K283" s="33"/>
      <c r="L283" s="34"/>
      <c r="S283">
        <f>ROUND((Source!FX96/100)*((ROUND(Source!AF96*Source!I96, 0)+ROUND(Source!AE96*Source!I96, 0))), 0)</f>
        <v>3</v>
      </c>
      <c r="T283">
        <f>Source!X96</f>
        <v>56</v>
      </c>
      <c r="U283">
        <f>ROUND((Source!FY96/100)*((ROUND(Source!AF96*Source!I96, 0)+ROUND(Source!AE96*Source!I96, 0))), 0)</f>
        <v>2</v>
      </c>
      <c r="V283">
        <f>Source!Y96</f>
        <v>36</v>
      </c>
    </row>
    <row r="284" spans="1:28">
      <c r="C284" s="49" t="str">
        <f>"Объем: "&amp;Source!I96&amp;"=5,2/"&amp;"100"</f>
        <v>Объем: 0,052=5,2/100</v>
      </c>
    </row>
    <row r="285" spans="1:28" ht="14.4">
      <c r="A285" s="27"/>
      <c r="B285" s="28"/>
      <c r="C285" s="25" t="s">
        <v>962</v>
      </c>
      <c r="D285" s="30"/>
      <c r="E285" s="10"/>
      <c r="F285" s="32">
        <f>Source!AO96</f>
        <v>59.67</v>
      </c>
      <c r="G285" s="31" t="str">
        <f>Source!DG96</f>
        <v>)*1,15</v>
      </c>
      <c r="H285" s="33">
        <f>ROUND(Source!AF96*Source!I96, 0)</f>
        <v>4</v>
      </c>
      <c r="I285" s="31"/>
      <c r="J285" s="31">
        <f>IF(Source!BA96&lt;&gt; 0, Source!BA96, 1)</f>
        <v>20.88</v>
      </c>
      <c r="K285" s="33">
        <f>Source!S96</f>
        <v>75</v>
      </c>
      <c r="L285" s="34"/>
      <c r="R285">
        <f>H285</f>
        <v>4</v>
      </c>
    </row>
    <row r="286" spans="1:28" ht="14.4">
      <c r="A286" s="27"/>
      <c r="B286" s="28"/>
      <c r="C286" s="25" t="s">
        <v>125</v>
      </c>
      <c r="D286" s="30"/>
      <c r="E286" s="10"/>
      <c r="F286" s="32">
        <f>Source!AM96</f>
        <v>3.67</v>
      </c>
      <c r="G286" s="31" t="str">
        <f>Source!DE96</f>
        <v>)*1,25</v>
      </c>
      <c r="H286" s="33">
        <f>ROUND(Source!AD96*Source!I96, 0)</f>
        <v>0</v>
      </c>
      <c r="I286" s="31"/>
      <c r="J286" s="31">
        <f>IF(Source!BB96&lt;&gt; 0, Source!BB96, 1)</f>
        <v>9.1999999999999993</v>
      </c>
      <c r="K286" s="33">
        <f>Source!Q96</f>
        <v>2</v>
      </c>
      <c r="L286" s="34"/>
    </row>
    <row r="287" spans="1:28" ht="14.4">
      <c r="A287" s="27"/>
      <c r="B287" s="28"/>
      <c r="C287" s="25" t="s">
        <v>969</v>
      </c>
      <c r="D287" s="30"/>
      <c r="E287" s="10"/>
      <c r="F287" s="32">
        <f>Source!AL96</f>
        <v>452.7</v>
      </c>
      <c r="G287" s="31" t="str">
        <f>Source!DD96</f>
        <v/>
      </c>
      <c r="H287" s="33">
        <f>ROUND(Source!AC96*Source!I96, 0)</f>
        <v>24</v>
      </c>
      <c r="I287" s="31"/>
      <c r="J287" s="31">
        <f>IF(Source!BC96&lt;&gt; 0, Source!BC96, 1)</f>
        <v>12.28</v>
      </c>
      <c r="K287" s="33">
        <f>Source!P96</f>
        <v>289</v>
      </c>
      <c r="L287" s="34"/>
    </row>
    <row r="288" spans="1:28" ht="14.4">
      <c r="A288" s="27"/>
      <c r="B288" s="28"/>
      <c r="C288" s="25" t="s">
        <v>964</v>
      </c>
      <c r="D288" s="30" t="s">
        <v>965</v>
      </c>
      <c r="E288" s="10">
        <f>Source!BZ96</f>
        <v>118</v>
      </c>
      <c r="F288" s="92" t="str">
        <f>CONCATENATE(" )", Source!DL96, Source!FT96, "=", Source!FX96)</f>
        <v xml:space="preserve"> )*0,9*0,7=74,34</v>
      </c>
      <c r="G288" s="90"/>
      <c r="H288" s="33">
        <f>SUM(S283:S290)</f>
        <v>3</v>
      </c>
      <c r="I288" s="35"/>
      <c r="J288" s="25">
        <f>Source!AT96</f>
        <v>74</v>
      </c>
      <c r="K288" s="33">
        <f>SUM(T283:T290)</f>
        <v>56</v>
      </c>
      <c r="L288" s="34"/>
    </row>
    <row r="289" spans="1:26" ht="14.4">
      <c r="A289" s="27"/>
      <c r="B289" s="28"/>
      <c r="C289" s="25" t="s">
        <v>966</v>
      </c>
      <c r="D289" s="30" t="s">
        <v>965</v>
      </c>
      <c r="E289" s="10">
        <f>Source!CA96</f>
        <v>63</v>
      </c>
      <c r="F289" s="92" t="str">
        <f>CONCATENATE(" )", Source!DM96, Source!FU96, "=", Source!FY96)</f>
        <v xml:space="preserve"> )*0,85*0,9=48,195</v>
      </c>
      <c r="G289" s="90"/>
      <c r="H289" s="33">
        <f>SUM(U283:U290)</f>
        <v>2</v>
      </c>
      <c r="I289" s="35"/>
      <c r="J289" s="25">
        <f>Source!AU96</f>
        <v>48</v>
      </c>
      <c r="K289" s="33">
        <f>SUM(V283:V290)</f>
        <v>36</v>
      </c>
      <c r="L289" s="34"/>
    </row>
    <row r="290" spans="1:26" ht="14.4">
      <c r="A290" s="39"/>
      <c r="B290" s="40"/>
      <c r="C290" s="41" t="s">
        <v>967</v>
      </c>
      <c r="D290" s="42" t="s">
        <v>968</v>
      </c>
      <c r="E290" s="43">
        <f>Source!AQ96</f>
        <v>7.82</v>
      </c>
      <c r="F290" s="44"/>
      <c r="G290" s="45" t="str">
        <f>Source!DI96</f>
        <v>)*1,15</v>
      </c>
      <c r="H290" s="46"/>
      <c r="I290" s="45"/>
      <c r="J290" s="45"/>
      <c r="K290" s="46"/>
      <c r="L290" s="47">
        <f>Source!U96</f>
        <v>0.467636</v>
      </c>
    </row>
    <row r="291" spans="1:26" ht="13.8">
      <c r="G291" s="93">
        <f>ROUND(Source!AC96*Source!I96, 0)+ROUND(Source!AF96*Source!I96, 0)+ROUND(Source!AD96*Source!I96, 0)+SUM(H288:H289)</f>
        <v>33</v>
      </c>
      <c r="H291" s="93"/>
      <c r="J291" s="93">
        <f>Source!O96+SUM(K288:K289)</f>
        <v>458</v>
      </c>
      <c r="K291" s="93"/>
      <c r="L291" s="38">
        <f>Source!U96</f>
        <v>0.467636</v>
      </c>
      <c r="O291" s="37">
        <f>G291</f>
        <v>33</v>
      </c>
      <c r="P291" s="37">
        <f>J291</f>
        <v>458</v>
      </c>
      <c r="Q291" s="48">
        <f>L291</f>
        <v>0.467636</v>
      </c>
      <c r="W291">
        <f>IF(Source!BI96&lt;=1,G291, 0)</f>
        <v>33</v>
      </c>
      <c r="X291">
        <f>IF(Source!BI96=2,G291, 0)</f>
        <v>0</v>
      </c>
      <c r="Y291">
        <f>IF(Source!BI96=3,G291, 0)</f>
        <v>0</v>
      </c>
      <c r="Z291">
        <f>IF(Source!BI96=4,G291, 0)</f>
        <v>0</v>
      </c>
    </row>
    <row r="292" spans="1:26" ht="28.2">
      <c r="A292" s="27" t="str">
        <f>Source!E97</f>
        <v>33</v>
      </c>
      <c r="B292" s="28" t="str">
        <f>Source!F97</f>
        <v>09-04-012-2</v>
      </c>
      <c r="C292" s="25" t="str">
        <f>Source!G97</f>
        <v>Установка дверного доводчика к металлическим дверям</v>
      </c>
      <c r="D292" s="30" t="str">
        <f>Source!H97</f>
        <v>1  ШТ.</v>
      </c>
      <c r="E292" s="10">
        <f>Source!I97</f>
        <v>1</v>
      </c>
      <c r="F292" s="32">
        <f>IF(Source!AK97&lt;&gt; 0, Source!AK97,Source!AL97 + Source!AM97 + Source!AO97)</f>
        <v>13.57</v>
      </c>
      <c r="G292" s="31"/>
      <c r="H292" s="33"/>
      <c r="I292" s="31" t="str">
        <f>Source!BO97</f>
        <v>09-04-012-2</v>
      </c>
      <c r="J292" s="31"/>
      <c r="K292" s="33"/>
      <c r="L292" s="34"/>
      <c r="S292">
        <f>ROUND((Source!FX97/100)*((ROUND(Source!AF97*Source!I97, 0)+ROUND(Source!AE97*Source!I97, 0))), 0)</f>
        <v>7</v>
      </c>
      <c r="T292">
        <f>Source!X97</f>
        <v>141</v>
      </c>
      <c r="U292">
        <f>ROUND((Source!FY97/100)*((ROUND(Source!AF97*Source!I97, 0)+ROUND(Source!AE97*Source!I97, 0))), 0)</f>
        <v>8</v>
      </c>
      <c r="V292">
        <f>Source!Y97</f>
        <v>161</v>
      </c>
    </row>
    <row r="293" spans="1:26" ht="14.4">
      <c r="A293" s="27"/>
      <c r="B293" s="28"/>
      <c r="C293" s="25" t="s">
        <v>962</v>
      </c>
      <c r="D293" s="30"/>
      <c r="E293" s="10"/>
      <c r="F293" s="32">
        <f>Source!AO97</f>
        <v>10.29</v>
      </c>
      <c r="G293" s="31" t="str">
        <f>Source!DG97</f>
        <v>)*1,15</v>
      </c>
      <c r="H293" s="33">
        <f>ROUND(Source!AF97*Source!I97, 0)</f>
        <v>12</v>
      </c>
      <c r="I293" s="31"/>
      <c r="J293" s="31">
        <f>IF(Source!BA97&lt;&gt; 0, Source!BA97, 1)</f>
        <v>20.88</v>
      </c>
      <c r="K293" s="33">
        <f>Source!S97</f>
        <v>247</v>
      </c>
      <c r="L293" s="34"/>
      <c r="R293">
        <f>H293</f>
        <v>12</v>
      </c>
    </row>
    <row r="294" spans="1:26" ht="14.4">
      <c r="A294" s="27"/>
      <c r="B294" s="28"/>
      <c r="C294" s="25" t="s">
        <v>125</v>
      </c>
      <c r="D294" s="30"/>
      <c r="E294" s="10"/>
      <c r="F294" s="32">
        <f>Source!AM97</f>
        <v>2.6</v>
      </c>
      <c r="G294" s="31" t="str">
        <f>Source!DE97</f>
        <v>)*1,25</v>
      </c>
      <c r="H294" s="33">
        <f>ROUND(Source!AD97*Source!I97, 0)</f>
        <v>3</v>
      </c>
      <c r="I294" s="31"/>
      <c r="J294" s="31">
        <f>IF(Source!BB97&lt;&gt; 0, Source!BB97, 1)</f>
        <v>5.95</v>
      </c>
      <c r="K294" s="33">
        <f>Source!Q97</f>
        <v>19</v>
      </c>
      <c r="L294" s="34"/>
    </row>
    <row r="295" spans="1:26" ht="14.4">
      <c r="A295" s="27"/>
      <c r="B295" s="28"/>
      <c r="C295" s="25" t="s">
        <v>969</v>
      </c>
      <c r="D295" s="30"/>
      <c r="E295" s="10"/>
      <c r="F295" s="32">
        <f>Source!AL97</f>
        <v>0.68</v>
      </c>
      <c r="G295" s="31" t="str">
        <f>Source!DD97</f>
        <v/>
      </c>
      <c r="H295" s="33">
        <f>ROUND(Source!AC97*Source!I97, 0)</f>
        <v>1</v>
      </c>
      <c r="I295" s="31"/>
      <c r="J295" s="31">
        <f>IF(Source!BC97&lt;&gt; 0, Source!BC97, 1)</f>
        <v>5.37</v>
      </c>
      <c r="K295" s="33">
        <f>Source!P97</f>
        <v>4</v>
      </c>
      <c r="L295" s="34"/>
    </row>
    <row r="296" spans="1:26" ht="14.4">
      <c r="A296" s="27"/>
      <c r="B296" s="28"/>
      <c r="C296" s="25" t="s">
        <v>964</v>
      </c>
      <c r="D296" s="30" t="s">
        <v>965</v>
      </c>
      <c r="E296" s="10">
        <f>Source!BZ97</f>
        <v>90</v>
      </c>
      <c r="F296" s="92" t="str">
        <f>CONCATENATE(" )", Source!DL97, Source!FT97, "=", Source!FX97)</f>
        <v xml:space="preserve"> )*0,9*0,7=56,7</v>
      </c>
      <c r="G296" s="90"/>
      <c r="H296" s="33">
        <f>SUM(S292:S298)</f>
        <v>7</v>
      </c>
      <c r="I296" s="35"/>
      <c r="J296" s="25">
        <f>Source!AT97</f>
        <v>57</v>
      </c>
      <c r="K296" s="33">
        <f>SUM(T292:T298)</f>
        <v>141</v>
      </c>
      <c r="L296" s="34"/>
    </row>
    <row r="297" spans="1:26" ht="14.4">
      <c r="A297" s="27"/>
      <c r="B297" s="28"/>
      <c r="C297" s="25" t="s">
        <v>966</v>
      </c>
      <c r="D297" s="30" t="s">
        <v>965</v>
      </c>
      <c r="E297" s="10">
        <f>Source!CA97</f>
        <v>85</v>
      </c>
      <c r="F297" s="92" t="str">
        <f>CONCATENATE(" )", Source!DM97, Source!FU97, "=", Source!FY97)</f>
        <v xml:space="preserve"> )*0,85*0,9=65,025</v>
      </c>
      <c r="G297" s="90"/>
      <c r="H297" s="33">
        <f>SUM(U292:U298)</f>
        <v>8</v>
      </c>
      <c r="I297" s="35"/>
      <c r="J297" s="25">
        <f>Source!AU97</f>
        <v>65</v>
      </c>
      <c r="K297" s="33">
        <f>SUM(V292:V298)</f>
        <v>161</v>
      </c>
      <c r="L297" s="34"/>
    </row>
    <row r="298" spans="1:26" ht="14.4">
      <c r="A298" s="39"/>
      <c r="B298" s="40"/>
      <c r="C298" s="41" t="s">
        <v>967</v>
      </c>
      <c r="D298" s="42" t="s">
        <v>968</v>
      </c>
      <c r="E298" s="43">
        <f>Source!AQ97</f>
        <v>1.1100000000000001</v>
      </c>
      <c r="F298" s="44"/>
      <c r="G298" s="45" t="str">
        <f>Source!DI97</f>
        <v>)*1,15</v>
      </c>
      <c r="H298" s="46"/>
      <c r="I298" s="45"/>
      <c r="J298" s="45"/>
      <c r="K298" s="46"/>
      <c r="L298" s="47">
        <f>Source!U97</f>
        <v>1.2765</v>
      </c>
    </row>
    <row r="299" spans="1:26" ht="13.8">
      <c r="G299" s="93">
        <f>ROUND(Source!AC97*Source!I97, 0)+ROUND(Source!AF97*Source!I97, 0)+ROUND(Source!AD97*Source!I97, 0)+SUM(H296:H297)</f>
        <v>31</v>
      </c>
      <c r="H299" s="93"/>
      <c r="J299" s="93">
        <f>Source!O97+SUM(K296:K297)</f>
        <v>572</v>
      </c>
      <c r="K299" s="93"/>
      <c r="L299" s="38">
        <f>Source!U97</f>
        <v>1.2765</v>
      </c>
      <c r="O299" s="37">
        <f>G299</f>
        <v>31</v>
      </c>
      <c r="P299" s="37">
        <f>J299</f>
        <v>572</v>
      </c>
      <c r="Q299" s="48">
        <f>L299</f>
        <v>1.2765</v>
      </c>
      <c r="W299">
        <f>IF(Source!BI97&lt;=1,G299, 0)</f>
        <v>31</v>
      </c>
      <c r="X299">
        <f>IF(Source!BI97=2,G299, 0)</f>
        <v>0</v>
      </c>
      <c r="Y299">
        <f>IF(Source!BI97=3,G299, 0)</f>
        <v>0</v>
      </c>
      <c r="Z299">
        <f>IF(Source!BI97=4,G299, 0)</f>
        <v>0</v>
      </c>
    </row>
    <row r="300" spans="1:26" ht="28.2">
      <c r="A300" s="27" t="str">
        <f>Source!E98</f>
        <v>34</v>
      </c>
      <c r="B300" s="28" t="str">
        <f>Source!F98</f>
        <v>Прайс</v>
      </c>
      <c r="C300" s="25" t="str">
        <f>Source!G98</f>
        <v>Доводчик G-U OTS 430 EN2-5, с рычажной тягой, BC, цвет - коричневый</v>
      </c>
      <c r="D300" s="30" t="str">
        <f>Source!H98</f>
        <v>шт.</v>
      </c>
      <c r="E300" s="10">
        <f>Source!I98</f>
        <v>1</v>
      </c>
      <c r="F300" s="32">
        <f>IF(Source!AK98&lt;&gt; 0, Source!AK98,Source!AL98 + Source!AM98 + Source!AO98)</f>
        <v>1066.9000000000001</v>
      </c>
      <c r="G300" s="31"/>
      <c r="H300" s="33"/>
      <c r="I300" s="31" t="str">
        <f>Source!BO98</f>
        <v>101-6978</v>
      </c>
      <c r="J300" s="31"/>
      <c r="K300" s="33"/>
      <c r="L300" s="34"/>
      <c r="S300">
        <f>ROUND((Source!FX98/100)*((ROUND(Source!AF98*Source!I98, 0)+ROUND(Source!AE98*Source!I98, 0))), 0)</f>
        <v>0</v>
      </c>
      <c r="T300">
        <f>Source!X98</f>
        <v>0</v>
      </c>
      <c r="U300">
        <f>ROUND((Source!FY98/100)*((ROUND(Source!AF98*Source!I98, 0)+ROUND(Source!AE98*Source!I98, 0))), 0)</f>
        <v>0</v>
      </c>
      <c r="V300">
        <f>Source!Y98</f>
        <v>0</v>
      </c>
    </row>
    <row r="301" spans="1:26" ht="14.4">
      <c r="A301" s="39"/>
      <c r="B301" s="40"/>
      <c r="C301" s="41" t="s">
        <v>969</v>
      </c>
      <c r="D301" s="42"/>
      <c r="E301" s="43"/>
      <c r="F301" s="44">
        <f>Source!AL98</f>
        <v>1066.9000000000001</v>
      </c>
      <c r="G301" s="45" t="str">
        <f>Source!DD98</f>
        <v/>
      </c>
      <c r="H301" s="46">
        <f>ROUND(Source!AC98*Source!I98, 0)</f>
        <v>1067</v>
      </c>
      <c r="I301" s="45"/>
      <c r="J301" s="45">
        <f>IF(Source!BC98&lt;&gt; 0, Source!BC98, 1)</f>
        <v>3.65</v>
      </c>
      <c r="K301" s="46">
        <f>Source!P98</f>
        <v>3894</v>
      </c>
      <c r="L301" s="52"/>
    </row>
    <row r="302" spans="1:26" ht="13.8">
      <c r="G302" s="93">
        <f>ROUND(Source!AC98*Source!I98, 0)+ROUND(Source!AF98*Source!I98, 0)+ROUND(Source!AD98*Source!I98, 0)</f>
        <v>1067</v>
      </c>
      <c r="H302" s="93"/>
      <c r="J302" s="93">
        <f>Source!O98</f>
        <v>3894</v>
      </c>
      <c r="K302" s="93"/>
      <c r="L302" s="38">
        <f>Source!U98</f>
        <v>0</v>
      </c>
      <c r="O302" s="37">
        <f>G302</f>
        <v>1067</v>
      </c>
      <c r="P302" s="37">
        <f>J302</f>
        <v>3894</v>
      </c>
      <c r="Q302" s="48">
        <f>L302</f>
        <v>0</v>
      </c>
      <c r="W302">
        <f>IF(Source!BI98&lt;=1,G302, 0)</f>
        <v>1067</v>
      </c>
      <c r="X302">
        <f>IF(Source!BI98=2,G302, 0)</f>
        <v>0</v>
      </c>
      <c r="Y302">
        <f>IF(Source!BI98=3,G302, 0)</f>
        <v>0</v>
      </c>
      <c r="Z302">
        <f>IF(Source!BI98=4,G302, 0)</f>
        <v>0</v>
      </c>
    </row>
    <row r="303" spans="1:26" ht="42">
      <c r="A303" s="27" t="str">
        <f>Source!E99</f>
        <v>35</v>
      </c>
      <c r="B303" s="28" t="str">
        <f>Source!F99</f>
        <v>17-01-002-4</v>
      </c>
      <c r="C303" s="25" t="str">
        <f>Source!G99</f>
        <v>Установка гарнитуры туалетной: вешалок, подстаканников, поручней для ванн и т.д.</v>
      </c>
      <c r="D303" s="30" t="str">
        <f>Source!H99</f>
        <v>10 шт.</v>
      </c>
      <c r="E303" s="10">
        <f>Source!I99</f>
        <v>0.4</v>
      </c>
      <c r="F303" s="32">
        <f>IF(Source!AK99&lt;&gt; 0, Source!AK99,Source!AL99 + Source!AM99 + Source!AO99)</f>
        <v>1577.33</v>
      </c>
      <c r="G303" s="31"/>
      <c r="H303" s="33"/>
      <c r="I303" s="31" t="str">
        <f>Source!BO99</f>
        <v>17-01-002-4</v>
      </c>
      <c r="J303" s="31"/>
      <c r="K303" s="33"/>
      <c r="L303" s="34"/>
      <c r="S303">
        <f>ROUND((Source!FX99/100)*((ROUND(Source!AF99*Source!I99, 0)+ROUND(Source!AE99*Source!I99, 0))), 0)</f>
        <v>10</v>
      </c>
      <c r="T303">
        <f>Source!X99</f>
        <v>196</v>
      </c>
      <c r="U303">
        <f>ROUND((Source!FY99/100)*((ROUND(Source!AF99*Source!I99, 0)+ROUND(Source!AE99*Source!I99, 0))), 0)</f>
        <v>8</v>
      </c>
      <c r="V303">
        <f>Source!Y99</f>
        <v>152</v>
      </c>
    </row>
    <row r="304" spans="1:26">
      <c r="C304" s="49" t="str">
        <f>"Объем: "&amp;Source!I99&amp;"=4/"&amp;"10"</f>
        <v>Объем: 0,4=4/10</v>
      </c>
    </row>
    <row r="305" spans="1:26" ht="14.4">
      <c r="A305" s="27"/>
      <c r="B305" s="28"/>
      <c r="C305" s="25" t="s">
        <v>962</v>
      </c>
      <c r="D305" s="30"/>
      <c r="E305" s="10"/>
      <c r="F305" s="32">
        <f>Source!AO99</f>
        <v>25.17</v>
      </c>
      <c r="G305" s="31" t="str">
        <f>Source!DG99</f>
        <v>)*1,15</v>
      </c>
      <c r="H305" s="33">
        <f>ROUND(Source!AF99*Source!I99, 0)</f>
        <v>12</v>
      </c>
      <c r="I305" s="31"/>
      <c r="J305" s="31">
        <f>IF(Source!BA99&lt;&gt; 0, Source!BA99, 1)</f>
        <v>20.88</v>
      </c>
      <c r="K305" s="33">
        <f>Source!S99</f>
        <v>242</v>
      </c>
      <c r="L305" s="34"/>
      <c r="R305">
        <f>H305</f>
        <v>12</v>
      </c>
    </row>
    <row r="306" spans="1:26" ht="14.4">
      <c r="A306" s="27"/>
      <c r="B306" s="28"/>
      <c r="C306" s="25" t="s">
        <v>969</v>
      </c>
      <c r="D306" s="30"/>
      <c r="E306" s="10"/>
      <c r="F306" s="32">
        <f>Source!AL99</f>
        <v>1551.94</v>
      </c>
      <c r="G306" s="31" t="str">
        <f>Source!DD99</f>
        <v/>
      </c>
      <c r="H306" s="33">
        <f>ROUND(Source!AC99*Source!I99, 0)</f>
        <v>621</v>
      </c>
      <c r="I306" s="31"/>
      <c r="J306" s="31">
        <f>IF(Source!BC99&lt;&gt; 0, Source!BC99, 1)</f>
        <v>6.7</v>
      </c>
      <c r="K306" s="33">
        <f>Source!P99</f>
        <v>4159</v>
      </c>
      <c r="L306" s="34"/>
    </row>
    <row r="307" spans="1:26" ht="14.4">
      <c r="A307" s="27"/>
      <c r="B307" s="28"/>
      <c r="C307" s="25" t="s">
        <v>964</v>
      </c>
      <c r="D307" s="30" t="s">
        <v>965</v>
      </c>
      <c r="E307" s="10">
        <f>Source!BZ99</f>
        <v>128</v>
      </c>
      <c r="F307" s="92" t="str">
        <f>CONCATENATE(" )", Source!DL99, Source!FT99, "=", Source!FX99)</f>
        <v xml:space="preserve"> )*0,9*0,7=80,64</v>
      </c>
      <c r="G307" s="90"/>
      <c r="H307" s="33">
        <f>SUM(S303:S309)</f>
        <v>10</v>
      </c>
      <c r="I307" s="35"/>
      <c r="J307" s="25">
        <f>Source!AT99</f>
        <v>81</v>
      </c>
      <c r="K307" s="33">
        <f>SUM(T303:T309)</f>
        <v>196</v>
      </c>
      <c r="L307" s="34"/>
    </row>
    <row r="308" spans="1:26" ht="14.4">
      <c r="A308" s="27"/>
      <c r="B308" s="28"/>
      <c r="C308" s="25" t="s">
        <v>966</v>
      </c>
      <c r="D308" s="30" t="s">
        <v>965</v>
      </c>
      <c r="E308" s="10">
        <f>Source!CA99</f>
        <v>83</v>
      </c>
      <c r="F308" s="92" t="str">
        <f>CONCATENATE(" )", Source!DM99, Source!FU99, "=", Source!FY99)</f>
        <v xml:space="preserve"> )*0,85*0,9=63,495</v>
      </c>
      <c r="G308" s="90"/>
      <c r="H308" s="33">
        <f>SUM(U303:U309)</f>
        <v>8</v>
      </c>
      <c r="I308" s="35"/>
      <c r="J308" s="25">
        <f>Source!AU99</f>
        <v>63</v>
      </c>
      <c r="K308" s="33">
        <f>SUM(V303:V309)</f>
        <v>152</v>
      </c>
      <c r="L308" s="34"/>
    </row>
    <row r="309" spans="1:26" ht="14.4">
      <c r="A309" s="39"/>
      <c r="B309" s="40"/>
      <c r="C309" s="41" t="s">
        <v>967</v>
      </c>
      <c r="D309" s="42" t="s">
        <v>968</v>
      </c>
      <c r="E309" s="43">
        <f>Source!AQ99</f>
        <v>2.8</v>
      </c>
      <c r="F309" s="44"/>
      <c r="G309" s="45" t="str">
        <f>Source!DI99</f>
        <v>)*1,15</v>
      </c>
      <c r="H309" s="46"/>
      <c r="I309" s="45"/>
      <c r="J309" s="45"/>
      <c r="K309" s="46"/>
      <c r="L309" s="47">
        <f>Source!U99</f>
        <v>1.288</v>
      </c>
    </row>
    <row r="310" spans="1:26" ht="13.8">
      <c r="G310" s="93">
        <f>ROUND(Source!AC99*Source!I99, 0)+ROUND(Source!AF99*Source!I99, 0)+ROUND(Source!AD99*Source!I99, 0)+SUM(H307:H308)</f>
        <v>651</v>
      </c>
      <c r="H310" s="93"/>
      <c r="J310" s="93">
        <f>Source!O99+SUM(K307:K308)</f>
        <v>4749</v>
      </c>
      <c r="K310" s="93"/>
      <c r="L310" s="38">
        <f>Source!U99</f>
        <v>1.288</v>
      </c>
      <c r="O310" s="37">
        <f>G310</f>
        <v>651</v>
      </c>
      <c r="P310" s="37">
        <f>J310</f>
        <v>4749</v>
      </c>
      <c r="Q310" s="48">
        <f>L310</f>
        <v>1.288</v>
      </c>
      <c r="W310">
        <f>IF(Source!BI99&lt;=1,G310, 0)</f>
        <v>651</v>
      </c>
      <c r="X310">
        <f>IF(Source!BI99=2,G310, 0)</f>
        <v>0</v>
      </c>
      <c r="Y310">
        <f>IF(Source!BI99=3,G310, 0)</f>
        <v>0</v>
      </c>
      <c r="Z310">
        <f>IF(Source!BI99=4,G310, 0)</f>
        <v>0</v>
      </c>
    </row>
    <row r="311" spans="1:26" ht="28.2">
      <c r="A311" s="27" t="str">
        <f>Source!E100</f>
        <v>36</v>
      </c>
      <c r="B311" s="28" t="str">
        <f>Source!F100</f>
        <v>Прайс</v>
      </c>
      <c r="C311" s="25" t="str">
        <f>Source!G100</f>
        <v>Поручень для инвалидов откидной с бумагодержателем ПО-06.02.840.100.250</v>
      </c>
      <c r="D311" s="30" t="str">
        <f>Source!H100</f>
        <v>шт.</v>
      </c>
      <c r="E311" s="10">
        <f>Source!I100</f>
        <v>1</v>
      </c>
      <c r="F311" s="32">
        <f>IF(Source!AK100&lt;&gt; 0, Source!AK100,Source!AL100 + Source!AM100 + Source!AO100)</f>
        <v>4211</v>
      </c>
      <c r="G311" s="31"/>
      <c r="H311" s="33"/>
      <c r="I311" s="31" t="str">
        <f>Source!BO100</f>
        <v/>
      </c>
      <c r="J311" s="31"/>
      <c r="K311" s="33"/>
      <c r="L311" s="34"/>
      <c r="S311">
        <f>ROUND((Source!FX100/100)*((ROUND(Source!AF100*Source!I100, 0)+ROUND(Source!AE100*Source!I100, 0))), 0)</f>
        <v>0</v>
      </c>
      <c r="T311">
        <f>Source!X100</f>
        <v>0</v>
      </c>
      <c r="U311">
        <f>ROUND((Source!FY100/100)*((ROUND(Source!AF100*Source!I100, 0)+ROUND(Source!AE100*Source!I100, 0))), 0)</f>
        <v>0</v>
      </c>
      <c r="V311">
        <f>Source!Y100</f>
        <v>0</v>
      </c>
    </row>
    <row r="312" spans="1:26" ht="14.4">
      <c r="A312" s="39"/>
      <c r="B312" s="40"/>
      <c r="C312" s="41" t="s">
        <v>969</v>
      </c>
      <c r="D312" s="42"/>
      <c r="E312" s="43"/>
      <c r="F312" s="44">
        <f>Source!AL100</f>
        <v>4211</v>
      </c>
      <c r="G312" s="45" t="str">
        <f>Source!DD100</f>
        <v/>
      </c>
      <c r="H312" s="46">
        <f>ROUND(Source!AC100*Source!I100, 0)</f>
        <v>4211</v>
      </c>
      <c r="I312" s="45"/>
      <c r="J312" s="45">
        <f>IF(Source!BC100&lt;&gt; 0, Source!BC100, 1)</f>
        <v>1</v>
      </c>
      <c r="K312" s="46">
        <f>Source!P100</f>
        <v>4211</v>
      </c>
      <c r="L312" s="52"/>
    </row>
    <row r="313" spans="1:26" ht="13.8">
      <c r="G313" s="93">
        <f>ROUND(Source!AC100*Source!I100, 0)+ROUND(Source!AF100*Source!I100, 0)+ROUND(Source!AD100*Source!I100, 0)</f>
        <v>4211</v>
      </c>
      <c r="H313" s="93"/>
      <c r="J313" s="93">
        <f>Source!O100</f>
        <v>4211</v>
      </c>
      <c r="K313" s="93"/>
      <c r="L313" s="38">
        <f>Source!U100</f>
        <v>0</v>
      </c>
      <c r="O313" s="37">
        <f>G313</f>
        <v>4211</v>
      </c>
      <c r="P313" s="37">
        <f>J313</f>
        <v>4211</v>
      </c>
      <c r="Q313" s="48">
        <f>L313</f>
        <v>0</v>
      </c>
      <c r="W313">
        <f>IF(Source!BI100&lt;=1,G313, 0)</f>
        <v>4211</v>
      </c>
      <c r="X313">
        <f>IF(Source!BI100=2,G313, 0)</f>
        <v>0</v>
      </c>
      <c r="Y313">
        <f>IF(Source!BI100=3,G313, 0)</f>
        <v>0</v>
      </c>
      <c r="Z313">
        <f>IF(Source!BI100=4,G313, 0)</f>
        <v>0</v>
      </c>
    </row>
    <row r="314" spans="1:26" ht="28.2">
      <c r="A314" s="27" t="str">
        <f>Source!E101</f>
        <v>37</v>
      </c>
      <c r="B314" s="28" t="str">
        <f>Source!F101</f>
        <v>Прайс</v>
      </c>
      <c r="C314" s="25" t="str">
        <f>Source!G101</f>
        <v>Поручень для инвалидов прямой для санузлов (Скоба) L=800мм.Код: ПР-20</v>
      </c>
      <c r="D314" s="30" t="str">
        <f>Source!H101</f>
        <v>шт.</v>
      </c>
      <c r="E314" s="10">
        <f>Source!I101</f>
        <v>1</v>
      </c>
      <c r="F314" s="32">
        <f>IF(Source!AK101&lt;&gt; 0, Source!AK101,Source!AL101 + Source!AM101 + Source!AO101)</f>
        <v>3062.52</v>
      </c>
      <c r="G314" s="31"/>
      <c r="H314" s="33"/>
      <c r="I314" s="31" t="str">
        <f>Source!BO101</f>
        <v/>
      </c>
      <c r="J314" s="31"/>
      <c r="K314" s="33"/>
      <c r="L314" s="34"/>
      <c r="S314">
        <f>ROUND((Source!FX101/100)*((ROUND(Source!AF101*Source!I101, 0)+ROUND(Source!AE101*Source!I101, 0))), 0)</f>
        <v>0</v>
      </c>
      <c r="T314">
        <f>Source!X101</f>
        <v>0</v>
      </c>
      <c r="U314">
        <f>ROUND((Source!FY101/100)*((ROUND(Source!AF101*Source!I101, 0)+ROUND(Source!AE101*Source!I101, 0))), 0)</f>
        <v>0</v>
      </c>
      <c r="V314">
        <f>Source!Y101</f>
        <v>0</v>
      </c>
    </row>
    <row r="315" spans="1:26" ht="14.4">
      <c r="A315" s="39"/>
      <c r="B315" s="40"/>
      <c r="C315" s="41" t="s">
        <v>969</v>
      </c>
      <c r="D315" s="42"/>
      <c r="E315" s="43"/>
      <c r="F315" s="44">
        <f>Source!AL101</f>
        <v>3062.52</v>
      </c>
      <c r="G315" s="45" t="str">
        <f>Source!DD101</f>
        <v/>
      </c>
      <c r="H315" s="46">
        <f>ROUND(Source!AC101*Source!I101, 0)</f>
        <v>3063</v>
      </c>
      <c r="I315" s="45"/>
      <c r="J315" s="45">
        <f>IF(Source!BC101&lt;&gt; 0, Source!BC101, 1)</f>
        <v>1</v>
      </c>
      <c r="K315" s="46">
        <f>Source!P101</f>
        <v>3063</v>
      </c>
      <c r="L315" s="52"/>
    </row>
    <row r="316" spans="1:26" ht="13.8">
      <c r="G316" s="93">
        <f>ROUND(Source!AC101*Source!I101, 0)+ROUND(Source!AF101*Source!I101, 0)+ROUND(Source!AD101*Source!I101, 0)</f>
        <v>3063</v>
      </c>
      <c r="H316" s="93"/>
      <c r="J316" s="93">
        <f>Source!O101</f>
        <v>3063</v>
      </c>
      <c r="K316" s="93"/>
      <c r="L316" s="38">
        <f>Source!U101</f>
        <v>0</v>
      </c>
      <c r="O316" s="37">
        <f>G316</f>
        <v>3063</v>
      </c>
      <c r="P316" s="37">
        <f>J316</f>
        <v>3063</v>
      </c>
      <c r="Q316" s="48">
        <f>L316</f>
        <v>0</v>
      </c>
      <c r="W316">
        <f>IF(Source!BI101&lt;=1,G316, 0)</f>
        <v>3063</v>
      </c>
      <c r="X316">
        <f>IF(Source!BI101=2,G316, 0)</f>
        <v>0</v>
      </c>
      <c r="Y316">
        <f>IF(Source!BI101=3,G316, 0)</f>
        <v>0</v>
      </c>
      <c r="Z316">
        <f>IF(Source!BI101=4,G316, 0)</f>
        <v>0</v>
      </c>
    </row>
    <row r="317" spans="1:26" ht="42">
      <c r="A317" s="27" t="str">
        <f>Source!E102</f>
        <v>38</v>
      </c>
      <c r="B317" s="28" t="str">
        <f>Source!F102</f>
        <v>Прайс</v>
      </c>
      <c r="C317" s="25" t="str">
        <f>Source!G102</f>
        <v>Поручень для инвалидов для раковины с двумя стойками и двумя креплениями в стену (из трубы 38х1,5)Код: ПР-07</v>
      </c>
      <c r="D317" s="30" t="str">
        <f>Source!H102</f>
        <v>шт.</v>
      </c>
      <c r="E317" s="10">
        <f>Source!I102</f>
        <v>1</v>
      </c>
      <c r="F317" s="32">
        <f>IF(Source!AK102&lt;&gt; 0, Source!AK102,Source!AL102 + Source!AM102 + Source!AO102)</f>
        <v>6187.5</v>
      </c>
      <c r="G317" s="31"/>
      <c r="H317" s="33"/>
      <c r="I317" s="31" t="str">
        <f>Source!BO102</f>
        <v/>
      </c>
      <c r="J317" s="31"/>
      <c r="K317" s="33"/>
      <c r="L317" s="34"/>
      <c r="S317">
        <f>ROUND((Source!FX102/100)*((ROUND(Source!AF102*Source!I102, 0)+ROUND(Source!AE102*Source!I102, 0))), 0)</f>
        <v>0</v>
      </c>
      <c r="T317">
        <f>Source!X102</f>
        <v>0</v>
      </c>
      <c r="U317">
        <f>ROUND((Source!FY102/100)*((ROUND(Source!AF102*Source!I102, 0)+ROUND(Source!AE102*Source!I102, 0))), 0)</f>
        <v>0</v>
      </c>
      <c r="V317">
        <f>Source!Y102</f>
        <v>0</v>
      </c>
    </row>
    <row r="318" spans="1:26" ht="14.4">
      <c r="A318" s="39"/>
      <c r="B318" s="40"/>
      <c r="C318" s="41" t="s">
        <v>969</v>
      </c>
      <c r="D318" s="42"/>
      <c r="E318" s="43"/>
      <c r="F318" s="44">
        <f>Source!AL102</f>
        <v>6187.5</v>
      </c>
      <c r="G318" s="45" t="str">
        <f>Source!DD102</f>
        <v/>
      </c>
      <c r="H318" s="46">
        <f>ROUND(Source!AC102*Source!I102, 0)</f>
        <v>6188</v>
      </c>
      <c r="I318" s="45"/>
      <c r="J318" s="45">
        <f>IF(Source!BC102&lt;&gt; 0, Source!BC102, 1)</f>
        <v>1</v>
      </c>
      <c r="K318" s="46">
        <f>Source!P102</f>
        <v>6188</v>
      </c>
      <c r="L318" s="52"/>
    </row>
    <row r="319" spans="1:26" ht="13.8">
      <c r="G319" s="93">
        <f>ROUND(Source!AC102*Source!I102, 0)+ROUND(Source!AF102*Source!I102, 0)+ROUND(Source!AD102*Source!I102, 0)</f>
        <v>6188</v>
      </c>
      <c r="H319" s="93"/>
      <c r="J319" s="93">
        <f>Source!O102</f>
        <v>6188</v>
      </c>
      <c r="K319" s="93"/>
      <c r="L319" s="38">
        <f>Source!U102</f>
        <v>0</v>
      </c>
      <c r="O319" s="37">
        <f>G319</f>
        <v>6188</v>
      </c>
      <c r="P319" s="37">
        <f>J319</f>
        <v>6188</v>
      </c>
      <c r="Q319" s="48">
        <f>L319</f>
        <v>0</v>
      </c>
      <c r="W319">
        <f>IF(Source!BI102&lt;=1,G319, 0)</f>
        <v>6188</v>
      </c>
      <c r="X319">
        <f>IF(Source!BI102=2,G319, 0)</f>
        <v>0</v>
      </c>
      <c r="Y319">
        <f>IF(Source!BI102=3,G319, 0)</f>
        <v>0</v>
      </c>
      <c r="Z319">
        <f>IF(Source!BI102=4,G319, 0)</f>
        <v>0</v>
      </c>
    </row>
    <row r="320" spans="1:26" ht="28.2">
      <c r="A320" s="27" t="str">
        <f>Source!E103</f>
        <v>39</v>
      </c>
      <c r="B320" s="28" t="str">
        <f>Source!F103</f>
        <v>Прайс</v>
      </c>
      <c r="C320" s="25" t="str">
        <f>Source!G103</f>
        <v>Травмобезопасный крючок-держатель для костылей и одежды</v>
      </c>
      <c r="D320" s="30" t="str">
        <f>Source!H103</f>
        <v>шт.</v>
      </c>
      <c r="E320" s="10">
        <f>Source!I103</f>
        <v>1</v>
      </c>
      <c r="F320" s="32">
        <f>IF(Source!AK103&lt;&gt; 0, Source!AK103,Source!AL103 + Source!AM103 + Source!AO103)</f>
        <v>1496.7</v>
      </c>
      <c r="G320" s="31"/>
      <c r="H320" s="33"/>
      <c r="I320" s="31" t="str">
        <f>Source!BO103</f>
        <v/>
      </c>
      <c r="J320" s="31"/>
      <c r="K320" s="33"/>
      <c r="L320" s="34"/>
      <c r="S320">
        <f>ROUND((Source!FX103/100)*((ROUND(Source!AF103*Source!I103, 0)+ROUND(Source!AE103*Source!I103, 0))), 0)</f>
        <v>0</v>
      </c>
      <c r="T320">
        <f>Source!X103</f>
        <v>0</v>
      </c>
      <c r="U320">
        <f>ROUND((Source!FY103/100)*((ROUND(Source!AF103*Source!I103, 0)+ROUND(Source!AE103*Source!I103, 0))), 0)</f>
        <v>0</v>
      </c>
      <c r="V320">
        <f>Source!Y103</f>
        <v>0</v>
      </c>
    </row>
    <row r="321" spans="1:33" ht="14.4">
      <c r="A321" s="39"/>
      <c r="B321" s="40"/>
      <c r="C321" s="41" t="s">
        <v>969</v>
      </c>
      <c r="D321" s="42"/>
      <c r="E321" s="43"/>
      <c r="F321" s="44">
        <f>Source!AL103</f>
        <v>1496.7</v>
      </c>
      <c r="G321" s="45" t="str">
        <f>Source!DD103</f>
        <v/>
      </c>
      <c r="H321" s="46">
        <f>ROUND(Source!AC103*Source!I103, 0)</f>
        <v>1497</v>
      </c>
      <c r="I321" s="45"/>
      <c r="J321" s="45">
        <f>IF(Source!BC103&lt;&gt; 0, Source!BC103, 1)</f>
        <v>1</v>
      </c>
      <c r="K321" s="46">
        <f>Source!P103</f>
        <v>1497</v>
      </c>
      <c r="L321" s="52"/>
    </row>
    <row r="322" spans="1:33" ht="13.8">
      <c r="G322" s="93">
        <f>ROUND(Source!AC103*Source!I103, 0)+ROUND(Source!AF103*Source!I103, 0)+ROUND(Source!AD103*Source!I103, 0)</f>
        <v>1497</v>
      </c>
      <c r="H322" s="93"/>
      <c r="J322" s="93">
        <f>Source!O103</f>
        <v>1497</v>
      </c>
      <c r="K322" s="93"/>
      <c r="L322" s="38">
        <f>Source!U103</f>
        <v>0</v>
      </c>
      <c r="O322" s="37">
        <f>G322</f>
        <v>1497</v>
      </c>
      <c r="P322" s="37">
        <f>J322</f>
        <v>1497</v>
      </c>
      <c r="Q322" s="48">
        <f>L322</f>
        <v>0</v>
      </c>
      <c r="W322">
        <f>IF(Source!BI103&lt;=1,G322, 0)</f>
        <v>1497</v>
      </c>
      <c r="X322">
        <f>IF(Source!BI103=2,G322, 0)</f>
        <v>0</v>
      </c>
      <c r="Y322">
        <f>IF(Source!BI103=3,G322, 0)</f>
        <v>0</v>
      </c>
      <c r="Z322">
        <f>IF(Source!BI103=4,G322, 0)</f>
        <v>0</v>
      </c>
    </row>
    <row r="323" spans="1:33" ht="69.599999999999994">
      <c r="A323" s="27" t="str">
        <f>Source!E104</f>
        <v>40</v>
      </c>
      <c r="B323" s="28" t="str">
        <f>Source!F104</f>
        <v>10-05-009-1</v>
      </c>
      <c r="C323" s="25" t="str">
        <f>Source!G104</f>
        <v>Облицовка стен по системе «КНАУФ» по одинарному металлическому каркасу из ПН и ПС профилей гипсокартонными листами в один слой (С 625) оконным проемом</v>
      </c>
      <c r="D323" s="30" t="str">
        <f>Source!H104</f>
        <v>100 м2 стен (за вычетом проемов)</v>
      </c>
      <c r="E323" s="10">
        <f>Source!I104</f>
        <v>2.1000000000000001E-2</v>
      </c>
      <c r="F323" s="32">
        <f>IF(Source!AK104&lt;&gt; 0, Source!AK104,Source!AL104 + Source!AM104 + Source!AO104)</f>
        <v>5852.26</v>
      </c>
      <c r="G323" s="31"/>
      <c r="H323" s="33"/>
      <c r="I323" s="31" t="str">
        <f>Source!BO104</f>
        <v>10-05-009-1</v>
      </c>
      <c r="J323" s="31"/>
      <c r="K323" s="33"/>
      <c r="L323" s="34"/>
      <c r="S323">
        <f>ROUND((Source!FX104/100)*((ROUND(Source!AF104*Source!I104, 0)+ROUND(Source!AE104*Source!I104, 0))), 0)</f>
        <v>11</v>
      </c>
      <c r="T323">
        <f>Source!X104</f>
        <v>225</v>
      </c>
      <c r="U323">
        <f>ROUND((Source!FY104/100)*((ROUND(Source!AF104*Source!I104, 0)+ROUND(Source!AE104*Source!I104, 0))), 0)</f>
        <v>7</v>
      </c>
      <c r="V323">
        <f>Source!Y104</f>
        <v>146</v>
      </c>
    </row>
    <row r="324" spans="1:33">
      <c r="C324" s="49" t="str">
        <f>"Объем: "&amp;Source!I104&amp;"=2,1/"&amp;"100"</f>
        <v>Объем: 0,021=2,1/100</v>
      </c>
    </row>
    <row r="325" spans="1:33" ht="14.4">
      <c r="A325" s="27"/>
      <c r="B325" s="28"/>
      <c r="C325" s="25" t="s">
        <v>962</v>
      </c>
      <c r="D325" s="30"/>
      <c r="E325" s="10"/>
      <c r="F325" s="32">
        <f>Source!AO104</f>
        <v>602.08000000000004</v>
      </c>
      <c r="G325" s="31" t="str">
        <f>Source!DG104</f>
        <v>)*1,15</v>
      </c>
      <c r="H325" s="33">
        <f>ROUND(Source!AF104*Source!I104, 0)</f>
        <v>15</v>
      </c>
      <c r="I325" s="31"/>
      <c r="J325" s="31">
        <f>IF(Source!BA104&lt;&gt; 0, Source!BA104, 1)</f>
        <v>20.88</v>
      </c>
      <c r="K325" s="33">
        <f>Source!S104</f>
        <v>304</v>
      </c>
      <c r="L325" s="34"/>
      <c r="R325">
        <f>H325</f>
        <v>15</v>
      </c>
    </row>
    <row r="326" spans="1:33" ht="14.4">
      <c r="A326" s="27"/>
      <c r="B326" s="28"/>
      <c r="C326" s="25" t="s">
        <v>125</v>
      </c>
      <c r="D326" s="30"/>
      <c r="E326" s="10"/>
      <c r="F326" s="32">
        <f>Source!AM104</f>
        <v>18.34</v>
      </c>
      <c r="G326" s="31" t="str">
        <f>Source!DE104</f>
        <v>)*1,25</v>
      </c>
      <c r="H326" s="33">
        <f>ROUND(Source!AD104*Source!I104, 0)</f>
        <v>0</v>
      </c>
      <c r="I326" s="31"/>
      <c r="J326" s="31">
        <f>IF(Source!BB104&lt;&gt; 0, Source!BB104, 1)</f>
        <v>3.57</v>
      </c>
      <c r="K326" s="33">
        <f>Source!Q104</f>
        <v>2</v>
      </c>
      <c r="L326" s="34"/>
    </row>
    <row r="327" spans="1:33" ht="14.4">
      <c r="A327" s="27"/>
      <c r="B327" s="28"/>
      <c r="C327" s="25" t="s">
        <v>969</v>
      </c>
      <c r="D327" s="30"/>
      <c r="E327" s="10"/>
      <c r="F327" s="32">
        <f>Source!AL104</f>
        <v>5231.84</v>
      </c>
      <c r="G327" s="31" t="str">
        <f>Source!DD104</f>
        <v/>
      </c>
      <c r="H327" s="33">
        <f>ROUND(Source!AC104*Source!I104, 0)</f>
        <v>110</v>
      </c>
      <c r="I327" s="31"/>
      <c r="J327" s="31">
        <f>IF(Source!BC104&lt;&gt; 0, Source!BC104, 1)</f>
        <v>5.65</v>
      </c>
      <c r="K327" s="33">
        <f>Source!P104</f>
        <v>621</v>
      </c>
      <c r="L327" s="34"/>
    </row>
    <row r="328" spans="1:33" ht="14.4">
      <c r="A328" s="27"/>
      <c r="B328" s="28"/>
      <c r="C328" s="25" t="s">
        <v>964</v>
      </c>
      <c r="D328" s="30" t="s">
        <v>965</v>
      </c>
      <c r="E328" s="10">
        <f>Source!BZ104</f>
        <v>118</v>
      </c>
      <c r="F328" s="92" t="str">
        <f>CONCATENATE(" )", Source!DL104, Source!FT104, "=", Source!FX104)</f>
        <v xml:space="preserve"> )*0,9*0,7=74,34</v>
      </c>
      <c r="G328" s="90"/>
      <c r="H328" s="33">
        <f>SUM(S323:S330)</f>
        <v>11</v>
      </c>
      <c r="I328" s="35"/>
      <c r="J328" s="25">
        <f>Source!AT104</f>
        <v>74</v>
      </c>
      <c r="K328" s="33">
        <f>SUM(T323:T330)</f>
        <v>225</v>
      </c>
      <c r="L328" s="34"/>
    </row>
    <row r="329" spans="1:33" ht="14.4">
      <c r="A329" s="27"/>
      <c r="B329" s="28"/>
      <c r="C329" s="25" t="s">
        <v>966</v>
      </c>
      <c r="D329" s="30" t="s">
        <v>965</v>
      </c>
      <c r="E329" s="10">
        <f>Source!CA104</f>
        <v>63</v>
      </c>
      <c r="F329" s="92" t="str">
        <f>CONCATENATE(" )", Source!DM104, Source!FU104, "=", Source!FY104)</f>
        <v xml:space="preserve"> )*0,85*0,9=48,195</v>
      </c>
      <c r="G329" s="90"/>
      <c r="H329" s="33">
        <f>SUM(U323:U330)</f>
        <v>7</v>
      </c>
      <c r="I329" s="35"/>
      <c r="J329" s="25">
        <f>Source!AU104</f>
        <v>48</v>
      </c>
      <c r="K329" s="33">
        <f>SUM(V323:V330)</f>
        <v>146</v>
      </c>
      <c r="L329" s="34"/>
    </row>
    <row r="330" spans="1:33" ht="14.4">
      <c r="A330" s="39"/>
      <c r="B330" s="40"/>
      <c r="C330" s="41" t="s">
        <v>967</v>
      </c>
      <c r="D330" s="42" t="s">
        <v>968</v>
      </c>
      <c r="E330" s="43">
        <f>Source!AQ104</f>
        <v>71</v>
      </c>
      <c r="F330" s="44"/>
      <c r="G330" s="45" t="str">
        <f>Source!DI104</f>
        <v>)*1,15</v>
      </c>
      <c r="H330" s="46"/>
      <c r="I330" s="45"/>
      <c r="J330" s="45"/>
      <c r="K330" s="46"/>
      <c r="L330" s="47">
        <f>Source!U104</f>
        <v>1.71465</v>
      </c>
    </row>
    <row r="331" spans="1:33" ht="13.8">
      <c r="G331" s="93">
        <f>ROUND(Source!AC104*Source!I104, 0)+ROUND(Source!AF104*Source!I104, 0)+ROUND(Source!AD104*Source!I104, 0)+SUM(H328:H329)</f>
        <v>143</v>
      </c>
      <c r="H331" s="93"/>
      <c r="J331" s="93">
        <f>Source!O104+SUM(K328:K329)</f>
        <v>1298</v>
      </c>
      <c r="K331" s="93"/>
      <c r="L331" s="38">
        <f>Source!U104</f>
        <v>1.71465</v>
      </c>
      <c r="O331" s="37">
        <f>G331</f>
        <v>143</v>
      </c>
      <c r="P331" s="37">
        <f>J331</f>
        <v>1298</v>
      </c>
      <c r="Q331" s="48">
        <f>L331</f>
        <v>1.71465</v>
      </c>
      <c r="W331">
        <f>IF(Source!BI104&lt;=1,G331, 0)</f>
        <v>143</v>
      </c>
      <c r="X331">
        <f>IF(Source!BI104=2,G331, 0)</f>
        <v>0</v>
      </c>
      <c r="Y331">
        <f>IF(Source!BI104=3,G331, 0)</f>
        <v>0</v>
      </c>
      <c r="Z331">
        <f>IF(Source!BI104=4,G331, 0)</f>
        <v>0</v>
      </c>
    </row>
    <row r="333" spans="1:33" ht="13.8">
      <c r="A333" s="96" t="str">
        <f>CONCATENATE("Итого по разделу: ", Source!G106)</f>
        <v>Итого по разделу: Отделочные работы</v>
      </c>
      <c r="B333" s="96"/>
      <c r="C333" s="96"/>
      <c r="D333" s="96"/>
      <c r="E333" s="96"/>
      <c r="F333" s="96"/>
      <c r="G333" s="93">
        <f>SUM(O151:O332)</f>
        <v>28019</v>
      </c>
      <c r="H333" s="84"/>
      <c r="I333" s="50"/>
      <c r="J333" s="93">
        <f>SUM(P151:P332)</f>
        <v>100520</v>
      </c>
      <c r="K333" s="84"/>
      <c r="L333" s="38">
        <f>SUM(Q151:Q332)</f>
        <v>105.3660328</v>
      </c>
      <c r="AG333" s="51" t="str">
        <f>CONCATENATE("Итого по разделу: ", Source!G106)</f>
        <v>Итого по разделу: Отделочные работы</v>
      </c>
    </row>
    <row r="335" spans="1:33" ht="13.8">
      <c r="C335" s="25" t="str">
        <f>Source!H134</f>
        <v>Итого</v>
      </c>
      <c r="J335" s="97">
        <f>Source!F134</f>
        <v>100520</v>
      </c>
      <c r="K335" s="97"/>
    </row>
    <row r="338" spans="1:32" ht="16.8">
      <c r="A338" s="95" t="s">
        <v>1010</v>
      </c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AE338" s="26" t="str">
        <f>CONCATENATE("Раздел: ", Source!G136)</f>
        <v>Раздел: Склад аптеки</v>
      </c>
    </row>
    <row r="339" spans="1:32" ht="14.4">
      <c r="C339" s="98" t="str">
        <f>Source!G140</f>
        <v>Демонтажные работы</v>
      </c>
      <c r="D339" s="98"/>
      <c r="E339" s="98"/>
      <c r="F339" s="98"/>
      <c r="G339" s="98"/>
      <c r="H339" s="98"/>
      <c r="I339" s="98"/>
      <c r="J339" s="98"/>
      <c r="K339" s="98"/>
      <c r="L339" s="98"/>
      <c r="AF339" s="29" t="str">
        <f>Source!G140</f>
        <v>Демонтажные работы</v>
      </c>
    </row>
    <row r="340" spans="1:32" ht="43.2">
      <c r="A340" s="27" t="str">
        <f>Source!E141</f>
        <v>41</v>
      </c>
      <c r="B340" s="28" t="str">
        <f>Source!F141</f>
        <v>57-2-1</v>
      </c>
      <c r="C340" s="25" t="str">
        <f>Source!G141</f>
        <v>Разборка покрытий полов из линолеума и релина</v>
      </c>
      <c r="D340" s="30" t="str">
        <f>Source!H141</f>
        <v>100 м2 покрытия</v>
      </c>
      <c r="E340" s="10">
        <f>Source!I141</f>
        <v>0.35880000000000001</v>
      </c>
      <c r="F340" s="32">
        <f>IF(Source!AK141&lt;&gt; 0, Source!AK141,Source!AL141 + Source!AM141 + Source!AO141)</f>
        <v>87.2</v>
      </c>
      <c r="G340" s="31"/>
      <c r="H340" s="33"/>
      <c r="I340" s="31" t="str">
        <f>Source!BO141</f>
        <v>57-2-1</v>
      </c>
      <c r="J340" s="31"/>
      <c r="K340" s="33"/>
      <c r="L340" s="34"/>
      <c r="S340">
        <f>ROUND((Source!FX141/100)*((ROUND(Source!AF141*Source!I141, 0)+ROUND(Source!AE141*Source!I141, 0))), 0)</f>
        <v>17</v>
      </c>
      <c r="T340">
        <f>Source!X141</f>
        <v>355</v>
      </c>
      <c r="U340">
        <f>ROUND((Source!FY141/100)*((ROUND(Source!AF141*Source!I141, 0)+ROUND(Source!AE141*Source!I141, 0))), 0)</f>
        <v>19</v>
      </c>
      <c r="V340">
        <f>Source!Y141</f>
        <v>387</v>
      </c>
    </row>
    <row r="341" spans="1:32">
      <c r="C341" s="49" t="str">
        <f>"Объем: "&amp;Source!I141&amp;"=35,88/"&amp;"100"</f>
        <v>Объем: 0,3588=35,88/100</v>
      </c>
    </row>
    <row r="342" spans="1:32" ht="14.4">
      <c r="A342" s="27"/>
      <c r="B342" s="28"/>
      <c r="C342" s="25" t="s">
        <v>962</v>
      </c>
      <c r="D342" s="30"/>
      <c r="E342" s="10"/>
      <c r="F342" s="32">
        <f>Source!AO141</f>
        <v>83.03</v>
      </c>
      <c r="G342" s="31" t="str">
        <f>Source!DG141</f>
        <v/>
      </c>
      <c r="H342" s="33">
        <f>ROUND(Source!AF141*Source!I141, 0)</f>
        <v>30</v>
      </c>
      <c r="I342" s="31"/>
      <c r="J342" s="31">
        <f>IF(Source!BA141&lt;&gt; 0, Source!BA141, 1)</f>
        <v>20.88</v>
      </c>
      <c r="K342" s="33">
        <f>Source!S141</f>
        <v>622</v>
      </c>
      <c r="L342" s="34"/>
      <c r="R342">
        <f>H342</f>
        <v>30</v>
      </c>
    </row>
    <row r="343" spans="1:32" ht="14.4">
      <c r="A343" s="27"/>
      <c r="B343" s="28"/>
      <c r="C343" s="25" t="s">
        <v>125</v>
      </c>
      <c r="D343" s="30"/>
      <c r="E343" s="10"/>
      <c r="F343" s="32">
        <f>Source!AM141</f>
        <v>4.17</v>
      </c>
      <c r="G343" s="31" t="str">
        <f>Source!DE141</f>
        <v/>
      </c>
      <c r="H343" s="33">
        <f>ROUND(Source!AD141*Source!I141, 0)</f>
        <v>1</v>
      </c>
      <c r="I343" s="31"/>
      <c r="J343" s="31">
        <f>IF(Source!BB141&lt;&gt; 0, Source!BB141, 1)</f>
        <v>10.220000000000001</v>
      </c>
      <c r="K343" s="33">
        <f>Source!Q141</f>
        <v>15</v>
      </c>
      <c r="L343" s="34"/>
    </row>
    <row r="344" spans="1:32" ht="14.4">
      <c r="A344" s="27"/>
      <c r="B344" s="28"/>
      <c r="C344" s="25" t="s">
        <v>963</v>
      </c>
      <c r="D344" s="30"/>
      <c r="E344" s="10"/>
      <c r="F344" s="32">
        <f>Source!AN141</f>
        <v>1.57</v>
      </c>
      <c r="G344" s="31" t="str">
        <f>Source!DF141</f>
        <v/>
      </c>
      <c r="H344" s="33">
        <f>ROUND(Source!AE141*Source!I141, 0)</f>
        <v>1</v>
      </c>
      <c r="I344" s="31"/>
      <c r="J344" s="31">
        <f>IF(Source!BS141&lt;&gt; 0, Source!BS141, 1)</f>
        <v>20.88</v>
      </c>
      <c r="K344" s="33">
        <f>Source!R141</f>
        <v>12</v>
      </c>
      <c r="L344" s="34"/>
      <c r="R344">
        <f>H344</f>
        <v>1</v>
      </c>
    </row>
    <row r="345" spans="1:32" ht="14.4">
      <c r="A345" s="27"/>
      <c r="B345" s="28"/>
      <c r="C345" s="25" t="s">
        <v>964</v>
      </c>
      <c r="D345" s="30" t="s">
        <v>965</v>
      </c>
      <c r="E345" s="10">
        <f>Source!BZ141</f>
        <v>80</v>
      </c>
      <c r="F345" s="92" t="str">
        <f>CONCATENATE(" )", Source!DL141, Source!FT141, "=", Source!FX141)</f>
        <v xml:space="preserve"> )*0,7=56</v>
      </c>
      <c r="G345" s="90"/>
      <c r="H345" s="33">
        <f>SUM(S340:S347)</f>
        <v>17</v>
      </c>
      <c r="I345" s="35"/>
      <c r="J345" s="25">
        <f>Source!AT141</f>
        <v>56</v>
      </c>
      <c r="K345" s="33">
        <f>SUM(T340:T347)</f>
        <v>355</v>
      </c>
      <c r="L345" s="34"/>
    </row>
    <row r="346" spans="1:32" ht="14.4">
      <c r="A346" s="27"/>
      <c r="B346" s="28"/>
      <c r="C346" s="25" t="s">
        <v>966</v>
      </c>
      <c r="D346" s="30" t="s">
        <v>965</v>
      </c>
      <c r="E346" s="10">
        <f>Source!CA141</f>
        <v>68</v>
      </c>
      <c r="F346" s="92" t="str">
        <f>CONCATENATE(" )", Source!DM141, Source!FU141, "=", Source!FY141)</f>
        <v xml:space="preserve"> )*0,9=61,2</v>
      </c>
      <c r="G346" s="90"/>
      <c r="H346" s="33">
        <f>SUM(U340:U347)</f>
        <v>19</v>
      </c>
      <c r="I346" s="35"/>
      <c r="J346" s="25">
        <f>Source!AU141</f>
        <v>61</v>
      </c>
      <c r="K346" s="33">
        <f>SUM(V340:V347)</f>
        <v>387</v>
      </c>
      <c r="L346" s="34"/>
    </row>
    <row r="347" spans="1:32" ht="14.4">
      <c r="A347" s="39"/>
      <c r="B347" s="40"/>
      <c r="C347" s="41" t="s">
        <v>967</v>
      </c>
      <c r="D347" s="42" t="s">
        <v>968</v>
      </c>
      <c r="E347" s="43">
        <f>Source!AQ141</f>
        <v>11.39</v>
      </c>
      <c r="F347" s="44"/>
      <c r="G347" s="45" t="str">
        <f>Source!DI141</f>
        <v/>
      </c>
      <c r="H347" s="46"/>
      <c r="I347" s="45"/>
      <c r="J347" s="45"/>
      <c r="K347" s="46"/>
      <c r="L347" s="47">
        <f>Source!U141</f>
        <v>4.0867320000000005</v>
      </c>
    </row>
    <row r="348" spans="1:32" ht="13.8">
      <c r="G348" s="93">
        <f>ROUND(Source!AC141*Source!I141, 0)+ROUND(Source!AF141*Source!I141, 0)+ROUND(Source!AD141*Source!I141, 0)+SUM(H345:H346)</f>
        <v>67</v>
      </c>
      <c r="H348" s="93"/>
      <c r="J348" s="93">
        <f>Source!O141+SUM(K345:K346)</f>
        <v>1379</v>
      </c>
      <c r="K348" s="93"/>
      <c r="L348" s="38">
        <f>Source!U141</f>
        <v>4.0867320000000005</v>
      </c>
      <c r="O348" s="37">
        <f>G348</f>
        <v>67</v>
      </c>
      <c r="P348" s="37">
        <f>J348</f>
        <v>1379</v>
      </c>
      <c r="Q348" s="48">
        <f>L348</f>
        <v>4.0867320000000005</v>
      </c>
      <c r="W348">
        <f>IF(Source!BI141&lt;=1,G348, 0)</f>
        <v>67</v>
      </c>
      <c r="X348">
        <f>IF(Source!BI141=2,G348, 0)</f>
        <v>0</v>
      </c>
      <c r="Y348">
        <f>IF(Source!BI141=3,G348, 0)</f>
        <v>0</v>
      </c>
      <c r="Z348">
        <f>IF(Source!BI141=4,G348, 0)</f>
        <v>0</v>
      </c>
    </row>
    <row r="349" spans="1:32" ht="43.2">
      <c r="A349" s="27" t="str">
        <f>Source!E142</f>
        <v>42</v>
      </c>
      <c r="B349" s="28" t="str">
        <f>Source!F142</f>
        <v>57-3-1</v>
      </c>
      <c r="C349" s="25" t="str">
        <f>Source!G142</f>
        <v>Разборка плинтусов деревянных и из пластмассовых материалов</v>
      </c>
      <c r="D349" s="30" t="str">
        <f>Source!H142</f>
        <v>100 М ПЛИНТУСА</v>
      </c>
      <c r="E349" s="10">
        <f>Source!I142</f>
        <v>0.32</v>
      </c>
      <c r="F349" s="32">
        <f>IF(Source!AK142&lt;&gt; 0, Source!AK142,Source!AL142 + Source!AM142 + Source!AO142)</f>
        <v>27.48</v>
      </c>
      <c r="G349" s="31"/>
      <c r="H349" s="33"/>
      <c r="I349" s="31" t="str">
        <f>Source!BO142</f>
        <v>57-3-1</v>
      </c>
      <c r="J349" s="31"/>
      <c r="K349" s="33"/>
      <c r="L349" s="34"/>
      <c r="S349">
        <f>ROUND((Source!FX142/100)*((ROUND(Source!AF142*Source!I142, 0)+ROUND(Source!AE142*Source!I142, 0))), 0)</f>
        <v>5</v>
      </c>
      <c r="T349">
        <f>Source!X142</f>
        <v>103</v>
      </c>
      <c r="U349">
        <f>ROUND((Source!FY142/100)*((ROUND(Source!AF142*Source!I142, 0)+ROUND(Source!AE142*Source!I142, 0))), 0)</f>
        <v>6</v>
      </c>
      <c r="V349">
        <f>Source!Y142</f>
        <v>112</v>
      </c>
    </row>
    <row r="350" spans="1:32">
      <c r="C350" s="49" t="str">
        <f>"Объем: "&amp;Source!I142&amp;"=32/"&amp;"100"</f>
        <v>Объем: 0,32=32/100</v>
      </c>
    </row>
    <row r="351" spans="1:32" ht="14.4">
      <c r="A351" s="27"/>
      <c r="B351" s="28"/>
      <c r="C351" s="25" t="s">
        <v>962</v>
      </c>
      <c r="D351" s="30"/>
      <c r="E351" s="10"/>
      <c r="F351" s="32">
        <f>Source!AO142</f>
        <v>27.48</v>
      </c>
      <c r="G351" s="31" t="str">
        <f>Source!DG142</f>
        <v/>
      </c>
      <c r="H351" s="33">
        <f>ROUND(Source!AF142*Source!I142, 0)</f>
        <v>9</v>
      </c>
      <c r="I351" s="31"/>
      <c r="J351" s="31">
        <f>IF(Source!BA142&lt;&gt; 0, Source!BA142, 1)</f>
        <v>20.88</v>
      </c>
      <c r="K351" s="33">
        <f>Source!S142</f>
        <v>184</v>
      </c>
      <c r="L351" s="34"/>
      <c r="R351">
        <f>H351</f>
        <v>9</v>
      </c>
    </row>
    <row r="352" spans="1:32" ht="14.4">
      <c r="A352" s="27"/>
      <c r="B352" s="28"/>
      <c r="C352" s="25" t="s">
        <v>964</v>
      </c>
      <c r="D352" s="30" t="s">
        <v>965</v>
      </c>
      <c r="E352" s="10">
        <f>Source!BZ142</f>
        <v>80</v>
      </c>
      <c r="F352" s="92" t="str">
        <f>CONCATENATE(" )", Source!DL142, Source!FT142, "=", Source!FX142)</f>
        <v xml:space="preserve"> )*0,7=56</v>
      </c>
      <c r="G352" s="90"/>
      <c r="H352" s="33">
        <f>SUM(S349:S354)</f>
        <v>5</v>
      </c>
      <c r="I352" s="35"/>
      <c r="J352" s="25">
        <f>Source!AT142</f>
        <v>56</v>
      </c>
      <c r="K352" s="33">
        <f>SUM(T349:T354)</f>
        <v>103</v>
      </c>
      <c r="L352" s="34"/>
    </row>
    <row r="353" spans="1:26" ht="14.4">
      <c r="A353" s="27"/>
      <c r="B353" s="28"/>
      <c r="C353" s="25" t="s">
        <v>966</v>
      </c>
      <c r="D353" s="30" t="s">
        <v>965</v>
      </c>
      <c r="E353" s="10">
        <f>Source!CA142</f>
        <v>68</v>
      </c>
      <c r="F353" s="92" t="str">
        <f>CONCATENATE(" )", Source!DM142, Source!FU142, "=", Source!FY142)</f>
        <v xml:space="preserve"> )*0,9=61,2</v>
      </c>
      <c r="G353" s="90"/>
      <c r="H353" s="33">
        <f>SUM(U349:U354)</f>
        <v>6</v>
      </c>
      <c r="I353" s="35"/>
      <c r="J353" s="25">
        <f>Source!AU142</f>
        <v>61</v>
      </c>
      <c r="K353" s="33">
        <f>SUM(V349:V354)</f>
        <v>112</v>
      </c>
      <c r="L353" s="34"/>
    </row>
    <row r="354" spans="1:26" ht="14.4">
      <c r="A354" s="39"/>
      <c r="B354" s="40"/>
      <c r="C354" s="41" t="s">
        <v>967</v>
      </c>
      <c r="D354" s="42" t="s">
        <v>968</v>
      </c>
      <c r="E354" s="43">
        <f>Source!AQ142</f>
        <v>3.77</v>
      </c>
      <c r="F354" s="44"/>
      <c r="G354" s="45" t="str">
        <f>Source!DI142</f>
        <v/>
      </c>
      <c r="H354" s="46"/>
      <c r="I354" s="45"/>
      <c r="J354" s="45"/>
      <c r="K354" s="46"/>
      <c r="L354" s="47">
        <f>Source!U142</f>
        <v>1.2064000000000001</v>
      </c>
    </row>
    <row r="355" spans="1:26" ht="13.8">
      <c r="G355" s="93">
        <f>ROUND(Source!AC142*Source!I142, 0)+ROUND(Source!AF142*Source!I142, 0)+ROUND(Source!AD142*Source!I142, 0)+SUM(H352:H353)</f>
        <v>20</v>
      </c>
      <c r="H355" s="93"/>
      <c r="J355" s="93">
        <f>Source!O142+SUM(K352:K353)</f>
        <v>399</v>
      </c>
      <c r="K355" s="93"/>
      <c r="L355" s="38">
        <f>Source!U142</f>
        <v>1.2064000000000001</v>
      </c>
      <c r="O355" s="37">
        <f>G355</f>
        <v>20</v>
      </c>
      <c r="P355" s="37">
        <f>J355</f>
        <v>399</v>
      </c>
      <c r="Q355" s="48">
        <f>L355</f>
        <v>1.2064000000000001</v>
      </c>
      <c r="W355">
        <f>IF(Source!BI142&lt;=1,G355, 0)</f>
        <v>20</v>
      </c>
      <c r="X355">
        <f>IF(Source!BI142=2,G355, 0)</f>
        <v>0</v>
      </c>
      <c r="Y355">
        <f>IF(Source!BI142=3,G355, 0)</f>
        <v>0</v>
      </c>
      <c r="Z355">
        <f>IF(Source!BI142=4,G355, 0)</f>
        <v>0</v>
      </c>
    </row>
    <row r="356" spans="1:26" ht="28.8">
      <c r="A356" s="27" t="str">
        <f>Source!E143</f>
        <v>43</v>
      </c>
      <c r="B356" s="28" t="str">
        <f>Source!F143</f>
        <v>53-1-1</v>
      </c>
      <c r="C356" s="25" t="str">
        <f>Source!G143</f>
        <v>Разборка обшивки неоштукатуренных деревянных стен</v>
      </c>
      <c r="D356" s="30" t="str">
        <f>Source!H143</f>
        <v>100 м2 стен</v>
      </c>
      <c r="E356" s="10">
        <f>Source!I143</f>
        <v>0.2074</v>
      </c>
      <c r="F356" s="32">
        <f>IF(Source!AK143&lt;&gt; 0, Source!AK143,Source!AL143 + Source!AM143 + Source!AO143)</f>
        <v>142.69999999999999</v>
      </c>
      <c r="G356" s="31"/>
      <c r="H356" s="33"/>
      <c r="I356" s="31" t="str">
        <f>Source!BO143</f>
        <v>53-1-1</v>
      </c>
      <c r="J356" s="31"/>
      <c r="K356" s="33"/>
      <c r="L356" s="34"/>
      <c r="S356">
        <f>ROUND((Source!FX143/100)*((ROUND(Source!AF143*Source!I143, 0)+ROUND(Source!AE143*Source!I143, 0))), 0)</f>
        <v>11</v>
      </c>
      <c r="T356">
        <f>Source!X143</f>
        <v>240</v>
      </c>
      <c r="U356">
        <f>ROUND((Source!FY143/100)*((ROUND(Source!AF143*Source!I143, 0)+ROUND(Source!AE143*Source!I143, 0))), 0)</f>
        <v>12</v>
      </c>
      <c r="V356">
        <f>Source!Y143</f>
        <v>252</v>
      </c>
    </row>
    <row r="357" spans="1:26">
      <c r="C357" s="49" t="str">
        <f>"Объем: "&amp;Source!I143&amp;"=20,74/"&amp;"100"</f>
        <v>Объем: 0,2074=20,74/100</v>
      </c>
    </row>
    <row r="358" spans="1:26" ht="14.4">
      <c r="A358" s="27"/>
      <c r="B358" s="28"/>
      <c r="C358" s="25" t="s">
        <v>962</v>
      </c>
      <c r="D358" s="30"/>
      <c r="E358" s="10"/>
      <c r="F358" s="32">
        <f>Source!AO143</f>
        <v>86.84</v>
      </c>
      <c r="G358" s="31" t="str">
        <f>Source!DG143</f>
        <v/>
      </c>
      <c r="H358" s="33">
        <f>ROUND(Source!AF143*Source!I143, 0)</f>
        <v>18</v>
      </c>
      <c r="I358" s="31"/>
      <c r="J358" s="31">
        <f>IF(Source!BA143&lt;&gt; 0, Source!BA143, 1)</f>
        <v>20.88</v>
      </c>
      <c r="K358" s="33">
        <f>Source!S143</f>
        <v>376</v>
      </c>
      <c r="L358" s="34"/>
      <c r="R358">
        <f>H358</f>
        <v>18</v>
      </c>
    </row>
    <row r="359" spans="1:26" ht="14.4">
      <c r="A359" s="27"/>
      <c r="B359" s="28"/>
      <c r="C359" s="25" t="s">
        <v>125</v>
      </c>
      <c r="D359" s="30"/>
      <c r="E359" s="10"/>
      <c r="F359" s="32">
        <f>Source!AM143</f>
        <v>55.86</v>
      </c>
      <c r="G359" s="31" t="str">
        <f>Source!DE143</f>
        <v/>
      </c>
      <c r="H359" s="33">
        <f>ROUND(Source!AD143*Source!I143, 0)</f>
        <v>12</v>
      </c>
      <c r="I359" s="31"/>
      <c r="J359" s="31">
        <f>IF(Source!BB143&lt;&gt; 0, Source!BB143, 1)</f>
        <v>7.91</v>
      </c>
      <c r="K359" s="33">
        <f>Source!Q143</f>
        <v>92</v>
      </c>
      <c r="L359" s="34"/>
    </row>
    <row r="360" spans="1:26" ht="14.4">
      <c r="A360" s="27"/>
      <c r="B360" s="28"/>
      <c r="C360" s="25" t="s">
        <v>963</v>
      </c>
      <c r="D360" s="30"/>
      <c r="E360" s="10"/>
      <c r="F360" s="32">
        <f>Source!AN143</f>
        <v>5.45</v>
      </c>
      <c r="G360" s="31" t="str">
        <f>Source!DF143</f>
        <v/>
      </c>
      <c r="H360" s="33">
        <f>ROUND(Source!AE143*Source!I143, 0)</f>
        <v>1</v>
      </c>
      <c r="I360" s="31"/>
      <c r="J360" s="31">
        <f>IF(Source!BS143&lt;&gt; 0, Source!BS143, 1)</f>
        <v>20.88</v>
      </c>
      <c r="K360" s="33">
        <f>Source!R143</f>
        <v>24</v>
      </c>
      <c r="L360" s="34"/>
      <c r="R360">
        <f>H360</f>
        <v>1</v>
      </c>
    </row>
    <row r="361" spans="1:26" ht="14.4">
      <c r="A361" s="27"/>
      <c r="B361" s="28"/>
      <c r="C361" s="25" t="s">
        <v>964</v>
      </c>
      <c r="D361" s="30" t="s">
        <v>965</v>
      </c>
      <c r="E361" s="10">
        <f>Source!BZ143</f>
        <v>86</v>
      </c>
      <c r="F361" s="92" t="str">
        <f>CONCATENATE(" )", Source!DL143, Source!FT143, "=", Source!FX143)</f>
        <v xml:space="preserve"> )*0,7=60,2</v>
      </c>
      <c r="G361" s="90"/>
      <c r="H361" s="33">
        <f>SUM(S356:S363)</f>
        <v>11</v>
      </c>
      <c r="I361" s="35"/>
      <c r="J361" s="25">
        <f>Source!AT143</f>
        <v>60</v>
      </c>
      <c r="K361" s="33">
        <f>SUM(T356:T363)</f>
        <v>240</v>
      </c>
      <c r="L361" s="34"/>
    </row>
    <row r="362" spans="1:26" ht="14.4">
      <c r="A362" s="27"/>
      <c r="B362" s="28"/>
      <c r="C362" s="25" t="s">
        <v>966</v>
      </c>
      <c r="D362" s="30" t="s">
        <v>965</v>
      </c>
      <c r="E362" s="10">
        <f>Source!CA143</f>
        <v>70</v>
      </c>
      <c r="F362" s="92" t="str">
        <f>CONCATENATE(" )", Source!DM143, Source!FU143, "=", Source!FY143)</f>
        <v xml:space="preserve"> )*0,9=63</v>
      </c>
      <c r="G362" s="90"/>
      <c r="H362" s="33">
        <f>SUM(U356:U363)</f>
        <v>12</v>
      </c>
      <c r="I362" s="35"/>
      <c r="J362" s="25">
        <f>Source!AU143</f>
        <v>63</v>
      </c>
      <c r="K362" s="33">
        <f>SUM(V356:V363)</f>
        <v>252</v>
      </c>
      <c r="L362" s="34"/>
    </row>
    <row r="363" spans="1:26" ht="14.4">
      <c r="A363" s="39"/>
      <c r="B363" s="40"/>
      <c r="C363" s="41" t="s">
        <v>967</v>
      </c>
      <c r="D363" s="42" t="s">
        <v>968</v>
      </c>
      <c r="E363" s="43">
        <f>Source!AQ143</f>
        <v>12.3</v>
      </c>
      <c r="F363" s="44"/>
      <c r="G363" s="45" t="str">
        <f>Source!DI143</f>
        <v/>
      </c>
      <c r="H363" s="46"/>
      <c r="I363" s="45"/>
      <c r="J363" s="45"/>
      <c r="K363" s="46"/>
      <c r="L363" s="47">
        <f>Source!U143</f>
        <v>2.5510200000000003</v>
      </c>
    </row>
    <row r="364" spans="1:26" ht="13.8">
      <c r="G364" s="93">
        <f>ROUND(Source!AC143*Source!I143, 0)+ROUND(Source!AF143*Source!I143, 0)+ROUND(Source!AD143*Source!I143, 0)+SUM(H361:H362)</f>
        <v>53</v>
      </c>
      <c r="H364" s="93"/>
      <c r="J364" s="93">
        <f>Source!O143+SUM(K361:K362)</f>
        <v>960</v>
      </c>
      <c r="K364" s="93"/>
      <c r="L364" s="38">
        <f>Source!U143</f>
        <v>2.5510200000000003</v>
      </c>
      <c r="O364" s="37">
        <f>G364</f>
        <v>53</v>
      </c>
      <c r="P364" s="37">
        <f>J364</f>
        <v>960</v>
      </c>
      <c r="Q364" s="48">
        <f>L364</f>
        <v>2.5510200000000003</v>
      </c>
      <c r="W364">
        <f>IF(Source!BI143&lt;=1,G364, 0)</f>
        <v>53</v>
      </c>
      <c r="X364">
        <f>IF(Source!BI143=2,G364, 0)</f>
        <v>0</v>
      </c>
      <c r="Y364">
        <f>IF(Source!BI143=3,G364, 0)</f>
        <v>0</v>
      </c>
      <c r="Z364">
        <f>IF(Source!BI143=4,G364, 0)</f>
        <v>0</v>
      </c>
    </row>
    <row r="365" spans="1:26" ht="28.2">
      <c r="A365" s="27" t="str">
        <f>Source!E144</f>
        <v>44</v>
      </c>
      <c r="B365" s="28" t="str">
        <f>Source!F144</f>
        <v>46-04-012-3</v>
      </c>
      <c r="C365" s="25" t="str">
        <f>Source!G144</f>
        <v>Разборка деревянных заполнений проемов дверных и воротных</v>
      </c>
      <c r="D365" s="30" t="str">
        <f>Source!H144</f>
        <v>100 м2</v>
      </c>
      <c r="E365" s="10">
        <f>Source!I144</f>
        <v>5.33E-2</v>
      </c>
      <c r="F365" s="32">
        <f>IF(Source!AK144&lt;&gt; 0, Source!AK144,Source!AL144 + Source!AM144 + Source!AO144)</f>
        <v>1033.94</v>
      </c>
      <c r="G365" s="31"/>
      <c r="H365" s="33"/>
      <c r="I365" s="31" t="str">
        <f>Source!BO144</f>
        <v>46-04-012-3</v>
      </c>
      <c r="J365" s="31"/>
      <c r="K365" s="33"/>
      <c r="L365" s="34"/>
      <c r="S365">
        <f>ROUND((Source!FX144/100)*((ROUND(Source!AF144*Source!I144, 0)+ROUND(Source!AE144*Source!I144, 0))), 0)</f>
        <v>33</v>
      </c>
      <c r="T365">
        <f>Source!X144</f>
        <v>675</v>
      </c>
      <c r="U365">
        <f>ROUND((Source!FY144/100)*((ROUND(Source!AF144*Source!I144, 0)+ROUND(Source!AE144*Source!I144, 0))), 0)</f>
        <v>25</v>
      </c>
      <c r="V365">
        <f>Source!Y144</f>
        <v>528</v>
      </c>
    </row>
    <row r="366" spans="1:26">
      <c r="C366" s="49" t="str">
        <f>"Объем: "&amp;Source!I144&amp;"=5,33/"&amp;"100"</f>
        <v>Объем: 0,0533=5,33/100</v>
      </c>
    </row>
    <row r="367" spans="1:26" ht="14.4">
      <c r="A367" s="27"/>
      <c r="B367" s="28"/>
      <c r="C367" s="25" t="s">
        <v>962</v>
      </c>
      <c r="D367" s="30"/>
      <c r="E367" s="10"/>
      <c r="F367" s="32">
        <f>Source!AO144</f>
        <v>785.56</v>
      </c>
      <c r="G367" s="31" t="str">
        <f>Source!DG144</f>
        <v/>
      </c>
      <c r="H367" s="33">
        <f>ROUND(Source!AF144*Source!I144, 0)</f>
        <v>42</v>
      </c>
      <c r="I367" s="31"/>
      <c r="J367" s="31">
        <f>IF(Source!BA144&lt;&gt; 0, Source!BA144, 1)</f>
        <v>20.88</v>
      </c>
      <c r="K367" s="33">
        <f>Source!S144</f>
        <v>874</v>
      </c>
      <c r="L367" s="34"/>
      <c r="R367">
        <f>H367</f>
        <v>42</v>
      </c>
    </row>
    <row r="368" spans="1:26" ht="14.4">
      <c r="A368" s="27"/>
      <c r="B368" s="28"/>
      <c r="C368" s="25" t="s">
        <v>125</v>
      </c>
      <c r="D368" s="30"/>
      <c r="E368" s="10"/>
      <c r="F368" s="32">
        <f>Source!AM144</f>
        <v>248.38</v>
      </c>
      <c r="G368" s="31" t="str">
        <f>Source!DE144</f>
        <v/>
      </c>
      <c r="H368" s="33">
        <f>ROUND(Source!AD144*Source!I144, 0)</f>
        <v>13</v>
      </c>
      <c r="I368" s="31"/>
      <c r="J368" s="31">
        <f>IF(Source!BB144&lt;&gt; 0, Source!BB144, 1)</f>
        <v>10.210000000000001</v>
      </c>
      <c r="K368" s="33">
        <f>Source!Q144</f>
        <v>135</v>
      </c>
      <c r="L368" s="34"/>
    </row>
    <row r="369" spans="1:26" ht="14.4">
      <c r="A369" s="27"/>
      <c r="B369" s="28"/>
      <c r="C369" s="25" t="s">
        <v>963</v>
      </c>
      <c r="D369" s="30"/>
      <c r="E369" s="10"/>
      <c r="F369" s="32">
        <f>Source!AN144</f>
        <v>93.65</v>
      </c>
      <c r="G369" s="31" t="str">
        <f>Source!DF144</f>
        <v/>
      </c>
      <c r="H369" s="33">
        <f>ROUND(Source!AE144*Source!I144, 0)</f>
        <v>5</v>
      </c>
      <c r="I369" s="31"/>
      <c r="J369" s="31">
        <f>IF(Source!BS144&lt;&gt; 0, Source!BS144, 1)</f>
        <v>20.88</v>
      </c>
      <c r="K369" s="33">
        <f>Source!R144</f>
        <v>104</v>
      </c>
      <c r="L369" s="34"/>
      <c r="R369">
        <f>H369</f>
        <v>5</v>
      </c>
    </row>
    <row r="370" spans="1:26" ht="14.4">
      <c r="A370" s="27"/>
      <c r="B370" s="28"/>
      <c r="C370" s="25" t="s">
        <v>964</v>
      </c>
      <c r="D370" s="30" t="s">
        <v>965</v>
      </c>
      <c r="E370" s="10">
        <f>Source!BZ144</f>
        <v>110</v>
      </c>
      <c r="F370" s="92" t="str">
        <f>CONCATENATE(" )", Source!DL144, Source!FT144, "=", Source!FX144)</f>
        <v xml:space="preserve"> )*0,9*0,7=69,3</v>
      </c>
      <c r="G370" s="90"/>
      <c r="H370" s="33">
        <f>SUM(S365:S372)</f>
        <v>33</v>
      </c>
      <c r="I370" s="35"/>
      <c r="J370" s="25">
        <f>Source!AT144</f>
        <v>69</v>
      </c>
      <c r="K370" s="33">
        <f>SUM(T365:T372)</f>
        <v>675</v>
      </c>
      <c r="L370" s="34"/>
    </row>
    <row r="371" spans="1:26" ht="14.4">
      <c r="A371" s="27"/>
      <c r="B371" s="28"/>
      <c r="C371" s="25" t="s">
        <v>966</v>
      </c>
      <c r="D371" s="30" t="s">
        <v>965</v>
      </c>
      <c r="E371" s="10">
        <f>Source!CA144</f>
        <v>70</v>
      </c>
      <c r="F371" s="92" t="str">
        <f>CONCATENATE(" )", Source!DM144, Source!FU144, "=", Source!FY144)</f>
        <v xml:space="preserve"> )*0,85*0,9=53,55</v>
      </c>
      <c r="G371" s="90"/>
      <c r="H371" s="33">
        <f>SUM(U365:U372)</f>
        <v>25</v>
      </c>
      <c r="I371" s="35"/>
      <c r="J371" s="25">
        <f>Source!AU144</f>
        <v>54</v>
      </c>
      <c r="K371" s="33">
        <f>SUM(V365:V372)</f>
        <v>528</v>
      </c>
      <c r="L371" s="34"/>
    </row>
    <row r="372" spans="1:26" ht="14.4">
      <c r="A372" s="39"/>
      <c r="B372" s="40"/>
      <c r="C372" s="41" t="s">
        <v>967</v>
      </c>
      <c r="D372" s="42" t="s">
        <v>968</v>
      </c>
      <c r="E372" s="43">
        <f>Source!AQ144</f>
        <v>103.91</v>
      </c>
      <c r="F372" s="44"/>
      <c r="G372" s="45" t="str">
        <f>Source!DI144</f>
        <v/>
      </c>
      <c r="H372" s="46"/>
      <c r="I372" s="45"/>
      <c r="J372" s="45"/>
      <c r="K372" s="46"/>
      <c r="L372" s="47">
        <f>Source!U144</f>
        <v>5.5384029999999997</v>
      </c>
    </row>
    <row r="373" spans="1:26" ht="13.8">
      <c r="G373" s="93">
        <f>ROUND(Source!AC144*Source!I144, 0)+ROUND(Source!AF144*Source!I144, 0)+ROUND(Source!AD144*Source!I144, 0)+SUM(H370:H371)</f>
        <v>113</v>
      </c>
      <c r="H373" s="93"/>
      <c r="J373" s="93">
        <f>Source!O144+SUM(K370:K371)</f>
        <v>2212</v>
      </c>
      <c r="K373" s="93"/>
      <c r="L373" s="38">
        <f>Source!U144</f>
        <v>5.5384029999999997</v>
      </c>
      <c r="O373" s="37">
        <f>G373</f>
        <v>113</v>
      </c>
      <c r="P373" s="37">
        <f>J373</f>
        <v>2212</v>
      </c>
      <c r="Q373" s="48">
        <f>L373</f>
        <v>5.5384029999999997</v>
      </c>
      <c r="W373">
        <f>IF(Source!BI144&lt;=1,G373, 0)</f>
        <v>113</v>
      </c>
      <c r="X373">
        <f>IF(Source!BI144=2,G373, 0)</f>
        <v>0</v>
      </c>
      <c r="Y373">
        <f>IF(Source!BI144=3,G373, 0)</f>
        <v>0</v>
      </c>
      <c r="Z373">
        <f>IF(Source!BI144=4,G373, 0)</f>
        <v>0</v>
      </c>
    </row>
    <row r="374" spans="1:26" ht="72">
      <c r="A374" s="27" t="str">
        <f>Source!E145</f>
        <v>45</v>
      </c>
      <c r="B374" s="28" t="str">
        <f>Source!F145</f>
        <v>62-41-1</v>
      </c>
      <c r="C374" s="25" t="str">
        <f>Source!G145</f>
        <v>Очистка вручную поверхности фасадов от перхлорвиниловых и масляных красок с земли и лесов (потолков)</v>
      </c>
      <c r="D374" s="30" t="str">
        <f>Source!H145</f>
        <v>100 М2 РАСЧИЩЕННОЙ ПОВЕРХНОСТИ</v>
      </c>
      <c r="E374" s="10">
        <f>Source!I145</f>
        <v>0.3518</v>
      </c>
      <c r="F374" s="32">
        <f>IF(Source!AK145&lt;&gt; 0, Source!AK145,Source!AL145 + Source!AM145 + Source!AO145)</f>
        <v>151.63</v>
      </c>
      <c r="G374" s="31"/>
      <c r="H374" s="33"/>
      <c r="I374" s="31" t="str">
        <f>Source!BO145</f>
        <v>62-41-1</v>
      </c>
      <c r="J374" s="31"/>
      <c r="K374" s="33"/>
      <c r="L374" s="34"/>
      <c r="S374">
        <f>ROUND((Source!FX145/100)*((ROUND(Source!AF145*Source!I145, 0)+ROUND(Source!AE145*Source!I145, 0))), 0)</f>
        <v>30</v>
      </c>
      <c r="T374">
        <f>Source!X145</f>
        <v>624</v>
      </c>
      <c r="U374">
        <f>ROUND((Source!FY145/100)*((ROUND(Source!AF145*Source!I145, 0)+ROUND(Source!AE145*Source!I145, 0))), 0)</f>
        <v>24</v>
      </c>
      <c r="V374">
        <f>Source!Y145</f>
        <v>501</v>
      </c>
    </row>
    <row r="375" spans="1:26">
      <c r="C375" s="49" t="str">
        <f>"Объем: "&amp;Source!I145&amp;"=35,18/"&amp;"100"</f>
        <v>Объем: 0,3518=35,18/100</v>
      </c>
    </row>
    <row r="376" spans="1:26" ht="14.4">
      <c r="A376" s="27"/>
      <c r="B376" s="28"/>
      <c r="C376" s="25" t="s">
        <v>962</v>
      </c>
      <c r="D376" s="30"/>
      <c r="E376" s="10"/>
      <c r="F376" s="32">
        <f>Source!AO145</f>
        <v>151.63</v>
      </c>
      <c r="G376" s="31" t="str">
        <f>Source!DG145</f>
        <v/>
      </c>
      <c r="H376" s="33">
        <f>ROUND(Source!AF145*Source!I145, 0)</f>
        <v>53</v>
      </c>
      <c r="I376" s="31"/>
      <c r="J376" s="31">
        <f>IF(Source!BA145&lt;&gt; 0, Source!BA145, 1)</f>
        <v>20.88</v>
      </c>
      <c r="K376" s="33">
        <f>Source!S145</f>
        <v>1114</v>
      </c>
      <c r="L376" s="34"/>
      <c r="R376">
        <f>H376</f>
        <v>53</v>
      </c>
    </row>
    <row r="377" spans="1:26" ht="14.4">
      <c r="A377" s="27"/>
      <c r="B377" s="28"/>
      <c r="C377" s="25" t="s">
        <v>964</v>
      </c>
      <c r="D377" s="30" t="s">
        <v>965</v>
      </c>
      <c r="E377" s="10">
        <f>Source!BZ145</f>
        <v>80</v>
      </c>
      <c r="F377" s="92" t="str">
        <f>CONCATENATE(" )", Source!DL145, Source!FT145, "=", Source!FX145)</f>
        <v xml:space="preserve"> )*0,7=56</v>
      </c>
      <c r="G377" s="90"/>
      <c r="H377" s="33">
        <f>SUM(S374:S379)</f>
        <v>30</v>
      </c>
      <c r="I377" s="35"/>
      <c r="J377" s="25">
        <f>Source!AT145</f>
        <v>56</v>
      </c>
      <c r="K377" s="33">
        <f>SUM(T374:T379)</f>
        <v>624</v>
      </c>
      <c r="L377" s="34"/>
    </row>
    <row r="378" spans="1:26" ht="14.4">
      <c r="A378" s="27"/>
      <c r="B378" s="28"/>
      <c r="C378" s="25" t="s">
        <v>966</v>
      </c>
      <c r="D378" s="30" t="s">
        <v>965</v>
      </c>
      <c r="E378" s="10">
        <f>Source!CA145</f>
        <v>50</v>
      </c>
      <c r="F378" s="92" t="str">
        <f>CONCATENATE(" )", Source!DM145, Source!FU145, "=", Source!FY145)</f>
        <v xml:space="preserve"> )*0,9=45</v>
      </c>
      <c r="G378" s="90"/>
      <c r="H378" s="33">
        <f>SUM(U374:U379)</f>
        <v>24</v>
      </c>
      <c r="I378" s="35"/>
      <c r="J378" s="25">
        <f>Source!AU145</f>
        <v>45</v>
      </c>
      <c r="K378" s="33">
        <f>SUM(V374:V379)</f>
        <v>501</v>
      </c>
      <c r="L378" s="34"/>
    </row>
    <row r="379" spans="1:26" ht="14.4">
      <c r="A379" s="39"/>
      <c r="B379" s="40"/>
      <c r="C379" s="41" t="s">
        <v>967</v>
      </c>
      <c r="D379" s="42" t="s">
        <v>968</v>
      </c>
      <c r="E379" s="43">
        <f>Source!AQ145</f>
        <v>20.8</v>
      </c>
      <c r="F379" s="44"/>
      <c r="G379" s="45" t="str">
        <f>Source!DI145</f>
        <v/>
      </c>
      <c r="H379" s="46"/>
      <c r="I379" s="45"/>
      <c r="J379" s="45"/>
      <c r="K379" s="46"/>
      <c r="L379" s="47">
        <f>Source!U145</f>
        <v>7.3174400000000004</v>
      </c>
    </row>
    <row r="380" spans="1:26" ht="13.8">
      <c r="G380" s="93">
        <f>ROUND(Source!AC145*Source!I145, 0)+ROUND(Source!AF145*Source!I145, 0)+ROUND(Source!AD145*Source!I145, 0)+SUM(H377:H378)</f>
        <v>107</v>
      </c>
      <c r="H380" s="93"/>
      <c r="J380" s="93">
        <f>Source!O145+SUM(K377:K378)</f>
        <v>2239</v>
      </c>
      <c r="K380" s="93"/>
      <c r="L380" s="38">
        <f>Source!U145</f>
        <v>7.3174400000000004</v>
      </c>
      <c r="O380" s="37">
        <f>G380</f>
        <v>107</v>
      </c>
      <c r="P380" s="37">
        <f>J380</f>
        <v>2239</v>
      </c>
      <c r="Q380" s="48">
        <f>L380</f>
        <v>7.3174400000000004</v>
      </c>
      <c r="W380">
        <f>IF(Source!BI145&lt;=1,G380, 0)</f>
        <v>107</v>
      </c>
      <c r="X380">
        <f>IF(Source!BI145=2,G380, 0)</f>
        <v>0</v>
      </c>
      <c r="Y380">
        <f>IF(Source!BI145=3,G380, 0)</f>
        <v>0</v>
      </c>
      <c r="Z380">
        <f>IF(Source!BI145=4,G380, 0)</f>
        <v>0</v>
      </c>
    </row>
    <row r="381" spans="1:26" ht="72">
      <c r="A381" s="27" t="str">
        <f>Source!E146</f>
        <v>46</v>
      </c>
      <c r="B381" s="28" t="str">
        <f>Source!F146</f>
        <v>62-41-1</v>
      </c>
      <c r="C381" s="25" t="str">
        <f>Source!G146</f>
        <v>Очистка вручную поверхности фасадов от перхлорвиниловых и масляных красок с земли и лесов (стен)</v>
      </c>
      <c r="D381" s="30" t="str">
        <f>Source!H146</f>
        <v>100 М2 РАСЧИЩЕННОЙ ПОВЕРХНОСТИ</v>
      </c>
      <c r="E381" s="10">
        <f>Source!I146</f>
        <v>0.46</v>
      </c>
      <c r="F381" s="32">
        <f>IF(Source!AK146&lt;&gt; 0, Source!AK146,Source!AL146 + Source!AM146 + Source!AO146)</f>
        <v>151.63</v>
      </c>
      <c r="G381" s="31"/>
      <c r="H381" s="33"/>
      <c r="I381" s="31" t="str">
        <f>Source!BO146</f>
        <v>62-41-1</v>
      </c>
      <c r="J381" s="31"/>
      <c r="K381" s="33"/>
      <c r="L381" s="34"/>
      <c r="S381">
        <f>ROUND((Source!FX146/100)*((ROUND(Source!AF146*Source!I146, 0)+ROUND(Source!AE146*Source!I146, 0))), 0)</f>
        <v>39</v>
      </c>
      <c r="T381">
        <f>Source!X146</f>
        <v>815</v>
      </c>
      <c r="U381">
        <f>ROUND((Source!FY146/100)*((ROUND(Source!AF146*Source!I146, 0)+ROUND(Source!AE146*Source!I146, 0))), 0)</f>
        <v>32</v>
      </c>
      <c r="V381">
        <f>Source!Y146</f>
        <v>655</v>
      </c>
    </row>
    <row r="382" spans="1:26">
      <c r="C382" s="49" t="str">
        <f>"Объем: "&amp;Source!I146&amp;"=46/"&amp;"100"</f>
        <v>Объем: 0,46=46/100</v>
      </c>
    </row>
    <row r="383" spans="1:26" ht="14.4">
      <c r="A383" s="27"/>
      <c r="B383" s="28"/>
      <c r="C383" s="25" t="s">
        <v>962</v>
      </c>
      <c r="D383" s="30"/>
      <c r="E383" s="10"/>
      <c r="F383" s="32">
        <f>Source!AO146</f>
        <v>151.63</v>
      </c>
      <c r="G383" s="31" t="str">
        <f>Source!DG146</f>
        <v/>
      </c>
      <c r="H383" s="33">
        <f>ROUND(Source!AF146*Source!I146, 0)</f>
        <v>70</v>
      </c>
      <c r="I383" s="31"/>
      <c r="J383" s="31">
        <f>IF(Source!BA146&lt;&gt; 0, Source!BA146, 1)</f>
        <v>20.88</v>
      </c>
      <c r="K383" s="33">
        <f>Source!S146</f>
        <v>1456</v>
      </c>
      <c r="L383" s="34"/>
      <c r="R383">
        <f>H383</f>
        <v>70</v>
      </c>
    </row>
    <row r="384" spans="1:26" ht="14.4">
      <c r="A384" s="27"/>
      <c r="B384" s="28"/>
      <c r="C384" s="25" t="s">
        <v>964</v>
      </c>
      <c r="D384" s="30" t="s">
        <v>965</v>
      </c>
      <c r="E384" s="10">
        <f>Source!BZ146</f>
        <v>80</v>
      </c>
      <c r="F384" s="92" t="str">
        <f>CONCATENATE(" )", Source!DL146, Source!FT146, "=", Source!FX146)</f>
        <v xml:space="preserve"> )*0,7=56</v>
      </c>
      <c r="G384" s="90"/>
      <c r="H384" s="33">
        <f>SUM(S381:S386)</f>
        <v>39</v>
      </c>
      <c r="I384" s="35"/>
      <c r="J384" s="25">
        <f>Source!AT146</f>
        <v>56</v>
      </c>
      <c r="K384" s="33">
        <f>SUM(T381:T386)</f>
        <v>815</v>
      </c>
      <c r="L384" s="34"/>
    </row>
    <row r="385" spans="1:32" ht="14.4">
      <c r="A385" s="27"/>
      <c r="B385" s="28"/>
      <c r="C385" s="25" t="s">
        <v>966</v>
      </c>
      <c r="D385" s="30" t="s">
        <v>965</v>
      </c>
      <c r="E385" s="10">
        <f>Source!CA146</f>
        <v>50</v>
      </c>
      <c r="F385" s="92" t="str">
        <f>CONCATENATE(" )", Source!DM146, Source!FU146, "=", Source!FY146)</f>
        <v xml:space="preserve"> )*0,9=45</v>
      </c>
      <c r="G385" s="90"/>
      <c r="H385" s="33">
        <f>SUM(U381:U386)</f>
        <v>32</v>
      </c>
      <c r="I385" s="35"/>
      <c r="J385" s="25">
        <f>Source!AU146</f>
        <v>45</v>
      </c>
      <c r="K385" s="33">
        <f>SUM(V381:V386)</f>
        <v>655</v>
      </c>
      <c r="L385" s="34"/>
    </row>
    <row r="386" spans="1:32" ht="14.4">
      <c r="A386" s="39"/>
      <c r="B386" s="40"/>
      <c r="C386" s="41" t="s">
        <v>967</v>
      </c>
      <c r="D386" s="42" t="s">
        <v>968</v>
      </c>
      <c r="E386" s="43">
        <f>Source!AQ146</f>
        <v>20.8</v>
      </c>
      <c r="F386" s="44"/>
      <c r="G386" s="45" t="str">
        <f>Source!DI146</f>
        <v/>
      </c>
      <c r="H386" s="46"/>
      <c r="I386" s="45"/>
      <c r="J386" s="45"/>
      <c r="K386" s="46"/>
      <c r="L386" s="47">
        <f>Source!U146</f>
        <v>9.5680000000000014</v>
      </c>
    </row>
    <row r="387" spans="1:32" ht="13.8">
      <c r="G387" s="93">
        <f>ROUND(Source!AC146*Source!I146, 0)+ROUND(Source!AF146*Source!I146, 0)+ROUND(Source!AD146*Source!I146, 0)+SUM(H384:H385)</f>
        <v>141</v>
      </c>
      <c r="H387" s="93"/>
      <c r="J387" s="93">
        <f>Source!O146+SUM(K384:K385)</f>
        <v>2926</v>
      </c>
      <c r="K387" s="93"/>
      <c r="L387" s="38">
        <f>Source!U146</f>
        <v>9.5680000000000014</v>
      </c>
      <c r="O387" s="37">
        <f>G387</f>
        <v>141</v>
      </c>
      <c r="P387" s="37">
        <f>J387</f>
        <v>2926</v>
      </c>
      <c r="Q387" s="48">
        <f>L387</f>
        <v>9.5680000000000014</v>
      </c>
      <c r="W387">
        <f>IF(Source!BI146&lt;=1,G387, 0)</f>
        <v>141</v>
      </c>
      <c r="X387">
        <f>IF(Source!BI146=2,G387, 0)</f>
        <v>0</v>
      </c>
      <c r="Y387">
        <f>IF(Source!BI146=3,G387, 0)</f>
        <v>0</v>
      </c>
      <c r="Z387">
        <f>IF(Source!BI146=4,G387, 0)</f>
        <v>0</v>
      </c>
    </row>
    <row r="388" spans="1:32" ht="28.8">
      <c r="A388" s="27" t="str">
        <f>Source!E147</f>
        <v>47</v>
      </c>
      <c r="B388" s="28" t="str">
        <f>Source!F147</f>
        <v>65-4-1</v>
      </c>
      <c r="C388" s="25" t="str">
        <f>Source!G147</f>
        <v>Демонтаж умывальников и раковин</v>
      </c>
      <c r="D388" s="30" t="str">
        <f>Source!H147</f>
        <v>100 приборов</v>
      </c>
      <c r="E388" s="10">
        <f>Source!I147</f>
        <v>0.01</v>
      </c>
      <c r="F388" s="32">
        <f>IF(Source!AK147&lt;&gt; 0, Source!AK147,Source!AL147 + Source!AM147 + Source!AO147)</f>
        <v>417.2</v>
      </c>
      <c r="G388" s="31"/>
      <c r="H388" s="33"/>
      <c r="I388" s="31" t="str">
        <f>Source!BO147</f>
        <v>65-4-1</v>
      </c>
      <c r="J388" s="31"/>
      <c r="K388" s="33"/>
      <c r="L388" s="34"/>
      <c r="S388">
        <f>ROUND((Source!FX147/100)*((ROUND(Source!AF147*Source!I147, 0)+ROUND(Source!AE147*Source!I147, 0))), 0)</f>
        <v>2</v>
      </c>
      <c r="T388">
        <f>Source!X147</f>
        <v>45</v>
      </c>
      <c r="U388">
        <f>ROUND((Source!FY147/100)*((ROUND(Source!AF147*Source!I147, 0)+ROUND(Source!AE147*Source!I147, 0))), 0)</f>
        <v>2</v>
      </c>
      <c r="V388">
        <f>Source!Y147</f>
        <v>39</v>
      </c>
    </row>
    <row r="389" spans="1:32">
      <c r="C389" s="49" t="str">
        <f>"Объем: "&amp;Source!I147&amp;"=1/"&amp;"100"</f>
        <v>Объем: 0,01=1/100</v>
      </c>
    </row>
    <row r="390" spans="1:32" ht="14.4">
      <c r="A390" s="27"/>
      <c r="B390" s="28"/>
      <c r="C390" s="25" t="s">
        <v>962</v>
      </c>
      <c r="D390" s="30"/>
      <c r="E390" s="10"/>
      <c r="F390" s="32">
        <f>Source!AO147</f>
        <v>408.86</v>
      </c>
      <c r="G390" s="31" t="str">
        <f>Source!DG147</f>
        <v/>
      </c>
      <c r="H390" s="33">
        <f>ROUND(Source!AF147*Source!I147, 0)</f>
        <v>4</v>
      </c>
      <c r="I390" s="31"/>
      <c r="J390" s="31">
        <f>IF(Source!BA147&lt;&gt; 0, Source!BA147, 1)</f>
        <v>20.88</v>
      </c>
      <c r="K390" s="33">
        <f>Source!S147</f>
        <v>85</v>
      </c>
      <c r="L390" s="34"/>
      <c r="R390">
        <f>H390</f>
        <v>4</v>
      </c>
    </row>
    <row r="391" spans="1:32" ht="14.4">
      <c r="A391" s="27"/>
      <c r="B391" s="28"/>
      <c r="C391" s="25" t="s">
        <v>125</v>
      </c>
      <c r="D391" s="30"/>
      <c r="E391" s="10"/>
      <c r="F391" s="32">
        <f>Source!AM147</f>
        <v>8.34</v>
      </c>
      <c r="G391" s="31" t="str">
        <f>Source!DE147</f>
        <v/>
      </c>
      <c r="H391" s="33">
        <f>ROUND(Source!AD147*Source!I147, 0)</f>
        <v>0</v>
      </c>
      <c r="I391" s="31"/>
      <c r="J391" s="31">
        <f>IF(Source!BB147&lt;&gt; 0, Source!BB147, 1)</f>
        <v>10.220000000000001</v>
      </c>
      <c r="K391" s="33">
        <f>Source!Q147</f>
        <v>1</v>
      </c>
      <c r="L391" s="34"/>
    </row>
    <row r="392" spans="1:32" ht="14.4">
      <c r="A392" s="27"/>
      <c r="B392" s="28"/>
      <c r="C392" s="25" t="s">
        <v>963</v>
      </c>
      <c r="D392" s="30"/>
      <c r="E392" s="10"/>
      <c r="F392" s="32">
        <f>Source!AN147</f>
        <v>3.15</v>
      </c>
      <c r="G392" s="31" t="str">
        <f>Source!DF147</f>
        <v/>
      </c>
      <c r="H392" s="33">
        <f>ROUND(Source!AE147*Source!I147, 0)</f>
        <v>0</v>
      </c>
      <c r="I392" s="31"/>
      <c r="J392" s="31">
        <f>IF(Source!BS147&lt;&gt; 0, Source!BS147, 1)</f>
        <v>20.88</v>
      </c>
      <c r="K392" s="33">
        <f>Source!R147</f>
        <v>1</v>
      </c>
      <c r="L392" s="34"/>
      <c r="R392">
        <f>H392</f>
        <v>0</v>
      </c>
    </row>
    <row r="393" spans="1:32" ht="14.4">
      <c r="A393" s="27"/>
      <c r="B393" s="28"/>
      <c r="C393" s="25" t="s">
        <v>964</v>
      </c>
      <c r="D393" s="30" t="s">
        <v>965</v>
      </c>
      <c r="E393" s="10">
        <f>Source!BZ147</f>
        <v>74</v>
      </c>
      <c r="F393" s="92" t="str">
        <f>CONCATENATE(" )", Source!DL147, Source!FT147, "=", Source!FX147)</f>
        <v xml:space="preserve"> )*0,7=51,8</v>
      </c>
      <c r="G393" s="90"/>
      <c r="H393" s="33">
        <f>SUM(S388:S395)</f>
        <v>2</v>
      </c>
      <c r="I393" s="35"/>
      <c r="J393" s="25">
        <f>Source!AT147</f>
        <v>52</v>
      </c>
      <c r="K393" s="33">
        <f>SUM(T388:T395)</f>
        <v>45</v>
      </c>
      <c r="L393" s="34"/>
    </row>
    <row r="394" spans="1:32" ht="14.4">
      <c r="A394" s="27"/>
      <c r="B394" s="28"/>
      <c r="C394" s="25" t="s">
        <v>966</v>
      </c>
      <c r="D394" s="30" t="s">
        <v>965</v>
      </c>
      <c r="E394" s="10">
        <f>Source!CA147</f>
        <v>50</v>
      </c>
      <c r="F394" s="92" t="str">
        <f>CONCATENATE(" )", Source!DM147, Source!FU147, "=", Source!FY147)</f>
        <v xml:space="preserve"> )*0,9=45</v>
      </c>
      <c r="G394" s="90"/>
      <c r="H394" s="33">
        <f>SUM(U388:U395)</f>
        <v>2</v>
      </c>
      <c r="I394" s="35"/>
      <c r="J394" s="25">
        <f>Source!AU147</f>
        <v>45</v>
      </c>
      <c r="K394" s="33">
        <f>SUM(V388:V395)</f>
        <v>39</v>
      </c>
      <c r="L394" s="34"/>
    </row>
    <row r="395" spans="1:32" ht="14.4">
      <c r="A395" s="39"/>
      <c r="B395" s="40"/>
      <c r="C395" s="41" t="s">
        <v>967</v>
      </c>
      <c r="D395" s="42" t="s">
        <v>968</v>
      </c>
      <c r="E395" s="43">
        <f>Source!AQ147</f>
        <v>51.3</v>
      </c>
      <c r="F395" s="44"/>
      <c r="G395" s="45" t="str">
        <f>Source!DI147</f>
        <v/>
      </c>
      <c r="H395" s="46"/>
      <c r="I395" s="45"/>
      <c r="J395" s="45"/>
      <c r="K395" s="46"/>
      <c r="L395" s="47">
        <f>Source!U147</f>
        <v>0.51300000000000001</v>
      </c>
    </row>
    <row r="396" spans="1:32" ht="13.8">
      <c r="G396" s="93">
        <f>ROUND(Source!AC147*Source!I147, 0)+ROUND(Source!AF147*Source!I147, 0)+ROUND(Source!AD147*Source!I147, 0)+SUM(H393:H394)</f>
        <v>8</v>
      </c>
      <c r="H396" s="93"/>
      <c r="J396" s="93">
        <f>Source!O147+SUM(K393:K394)</f>
        <v>170</v>
      </c>
      <c r="K396" s="93"/>
      <c r="L396" s="38">
        <f>Source!U147</f>
        <v>0.51300000000000001</v>
      </c>
      <c r="O396" s="37">
        <f>G396</f>
        <v>8</v>
      </c>
      <c r="P396" s="37">
        <f>J396</f>
        <v>170</v>
      </c>
      <c r="Q396" s="48">
        <f>L396</f>
        <v>0.51300000000000001</v>
      </c>
      <c r="W396">
        <f>IF(Source!BI147&lt;=1,G396, 0)</f>
        <v>8</v>
      </c>
      <c r="X396">
        <f>IF(Source!BI147=2,G396, 0)</f>
        <v>0</v>
      </c>
      <c r="Y396">
        <f>IF(Source!BI147=3,G396, 0)</f>
        <v>0</v>
      </c>
      <c r="Z396">
        <f>IF(Source!BI147=4,G396, 0)</f>
        <v>0</v>
      </c>
    </row>
    <row r="397" spans="1:32" ht="14.4">
      <c r="C397" s="98" t="str">
        <f>Source!G148</f>
        <v>Отделочные работы</v>
      </c>
      <c r="D397" s="98"/>
      <c r="E397" s="98"/>
      <c r="F397" s="98"/>
      <c r="G397" s="98"/>
      <c r="H397" s="98"/>
      <c r="I397" s="98"/>
      <c r="J397" s="98"/>
      <c r="K397" s="98"/>
      <c r="L397" s="98"/>
      <c r="AF397" s="29" t="str">
        <f>Source!G148</f>
        <v>Отделочные работы</v>
      </c>
    </row>
    <row r="398" spans="1:32" ht="86.4">
      <c r="A398" s="27" t="str">
        <f>Source!E149</f>
        <v>48</v>
      </c>
      <c r="B398" s="28" t="str">
        <f>Source!F149</f>
        <v>15-02-019-3</v>
      </c>
      <c r="C398" s="25" t="str">
        <f>Source!G149</f>
        <v>Сплошное выравнивание внутренних поверхностей (однослойное оштукатуривание)из сухих растворных смесей толщиной до 10 мм стен</v>
      </c>
      <c r="D398" s="30" t="str">
        <f>Source!H149</f>
        <v>100 м2 оштукатуриваемой поверхности</v>
      </c>
      <c r="E398" s="10">
        <f>Source!I149</f>
        <v>0.40899999999999997</v>
      </c>
      <c r="F398" s="32">
        <f>IF(Source!AK149&lt;&gt; 0, Source!AK149,Source!AL149 + Source!AM149 + Source!AO149)</f>
        <v>2935.67</v>
      </c>
      <c r="G398" s="31"/>
      <c r="H398" s="33"/>
      <c r="I398" s="31" t="str">
        <f>Source!BO149</f>
        <v>15-02-019-3</v>
      </c>
      <c r="J398" s="31"/>
      <c r="K398" s="33"/>
      <c r="L398" s="34"/>
      <c r="S398">
        <f>ROUND((Source!FX149/100)*((ROUND(Source!AF149*Source!I149, 0)+ROUND(Source!AE149*Source!I149, 0))), 0)</f>
        <v>144</v>
      </c>
      <c r="T398">
        <f>Source!X149</f>
        <v>3008</v>
      </c>
      <c r="U398">
        <f>ROUND((Source!FY149/100)*((ROUND(Source!AF149*Source!I149, 0)+ROUND(Source!AE149*Source!I149, 0))), 0)</f>
        <v>92</v>
      </c>
      <c r="V398">
        <f>Source!Y149</f>
        <v>1914</v>
      </c>
    </row>
    <row r="399" spans="1:32">
      <c r="C399" s="49" t="str">
        <f>"Объем: "&amp;Source!I149&amp;"=40,9/"&amp;"100"</f>
        <v>Объем: 0,409=40,9/100</v>
      </c>
    </row>
    <row r="400" spans="1:32" ht="14.4">
      <c r="A400" s="27"/>
      <c r="B400" s="28"/>
      <c r="C400" s="25" t="s">
        <v>962</v>
      </c>
      <c r="D400" s="30"/>
      <c r="E400" s="10"/>
      <c r="F400" s="32">
        <f>Source!AO149</f>
        <v>445.22</v>
      </c>
      <c r="G400" s="31" t="str">
        <f>Source!DG149</f>
        <v>)*1,15</v>
      </c>
      <c r="H400" s="33">
        <f>ROUND(Source!AF149*Source!I149, 0)</f>
        <v>209</v>
      </c>
      <c r="I400" s="31"/>
      <c r="J400" s="31">
        <f>IF(Source!BA149&lt;&gt; 0, Source!BA149, 1)</f>
        <v>20.88</v>
      </c>
      <c r="K400" s="33">
        <f>Source!S149</f>
        <v>4372</v>
      </c>
      <c r="L400" s="34"/>
      <c r="R400">
        <f>H400</f>
        <v>209</v>
      </c>
    </row>
    <row r="401" spans="1:26" ht="14.4">
      <c r="A401" s="27"/>
      <c r="B401" s="28"/>
      <c r="C401" s="25" t="s">
        <v>125</v>
      </c>
      <c r="D401" s="30"/>
      <c r="E401" s="10"/>
      <c r="F401" s="32">
        <f>Source!AM149</f>
        <v>27.53</v>
      </c>
      <c r="G401" s="31" t="str">
        <f>Source!DE149</f>
        <v>)*1,25</v>
      </c>
      <c r="H401" s="33">
        <f>ROUND(Source!AD149*Source!I149, 0)</f>
        <v>14</v>
      </c>
      <c r="I401" s="31"/>
      <c r="J401" s="31">
        <f>IF(Source!BB149&lt;&gt; 0, Source!BB149, 1)</f>
        <v>15.51</v>
      </c>
      <c r="K401" s="33">
        <f>Source!Q149</f>
        <v>218</v>
      </c>
      <c r="L401" s="34"/>
    </row>
    <row r="402" spans="1:26" ht="14.4">
      <c r="A402" s="27"/>
      <c r="B402" s="28"/>
      <c r="C402" s="25" t="s">
        <v>963</v>
      </c>
      <c r="D402" s="30"/>
      <c r="E402" s="10"/>
      <c r="F402" s="32">
        <f>Source!AN149</f>
        <v>17.329999999999998</v>
      </c>
      <c r="G402" s="31" t="str">
        <f>Source!DF149</f>
        <v>)*1,25</v>
      </c>
      <c r="H402" s="33">
        <f>ROUND(Source!AE149*Source!I149, 0)</f>
        <v>9</v>
      </c>
      <c r="I402" s="31"/>
      <c r="J402" s="31">
        <f>IF(Source!BS149&lt;&gt; 0, Source!BS149, 1)</f>
        <v>20.88</v>
      </c>
      <c r="K402" s="33">
        <f>Source!R149</f>
        <v>185</v>
      </c>
      <c r="L402" s="34"/>
      <c r="R402">
        <f>H402</f>
        <v>9</v>
      </c>
    </row>
    <row r="403" spans="1:26" ht="14.4">
      <c r="A403" s="27"/>
      <c r="B403" s="28"/>
      <c r="C403" s="25" t="s">
        <v>969</v>
      </c>
      <c r="D403" s="30"/>
      <c r="E403" s="10"/>
      <c r="F403" s="32">
        <f>Source!AL149</f>
        <v>2462.92</v>
      </c>
      <c r="G403" s="31" t="str">
        <f>Source!DD149</f>
        <v/>
      </c>
      <c r="H403" s="33">
        <f>ROUND(Source!AC149*Source!I149, 0)</f>
        <v>1007</v>
      </c>
      <c r="I403" s="31"/>
      <c r="J403" s="31">
        <f>IF(Source!BC149&lt;&gt; 0, Source!BC149, 1)</f>
        <v>8.92</v>
      </c>
      <c r="K403" s="33">
        <f>Source!P149</f>
        <v>8985</v>
      </c>
      <c r="L403" s="34"/>
    </row>
    <row r="404" spans="1:26" ht="14.4">
      <c r="A404" s="27"/>
      <c r="B404" s="28"/>
      <c r="C404" s="25" t="s">
        <v>964</v>
      </c>
      <c r="D404" s="30" t="s">
        <v>965</v>
      </c>
      <c r="E404" s="10">
        <f>Source!BZ149</f>
        <v>105</v>
      </c>
      <c r="F404" s="92" t="str">
        <f>CONCATENATE(" )", Source!DL149, Source!FT149, "=", Source!FX149)</f>
        <v xml:space="preserve"> )*0,9*0,7=66,15</v>
      </c>
      <c r="G404" s="90"/>
      <c r="H404" s="33">
        <f>SUM(S398:S406)</f>
        <v>144</v>
      </c>
      <c r="I404" s="35"/>
      <c r="J404" s="25">
        <f>Source!AT149</f>
        <v>66</v>
      </c>
      <c r="K404" s="33">
        <f>SUM(T398:T406)</f>
        <v>3008</v>
      </c>
      <c r="L404" s="34"/>
    </row>
    <row r="405" spans="1:26" ht="14.4">
      <c r="A405" s="27"/>
      <c r="B405" s="28"/>
      <c r="C405" s="25" t="s">
        <v>966</v>
      </c>
      <c r="D405" s="30" t="s">
        <v>965</v>
      </c>
      <c r="E405" s="10">
        <f>Source!CA149</f>
        <v>55</v>
      </c>
      <c r="F405" s="92" t="str">
        <f>CONCATENATE(" )", Source!DM149, Source!FU149, "=", Source!FY149)</f>
        <v xml:space="preserve"> )*0,85*0,9=42,075</v>
      </c>
      <c r="G405" s="90"/>
      <c r="H405" s="33">
        <f>SUM(U398:U406)</f>
        <v>92</v>
      </c>
      <c r="I405" s="35"/>
      <c r="J405" s="25">
        <f>Source!AU149</f>
        <v>42</v>
      </c>
      <c r="K405" s="33">
        <f>SUM(V398:V406)</f>
        <v>1914</v>
      </c>
      <c r="L405" s="34"/>
    </row>
    <row r="406" spans="1:26" ht="14.4">
      <c r="A406" s="39"/>
      <c r="B406" s="40"/>
      <c r="C406" s="41" t="s">
        <v>967</v>
      </c>
      <c r="D406" s="42" t="s">
        <v>968</v>
      </c>
      <c r="E406" s="43">
        <f>Source!AQ149</f>
        <v>51.89</v>
      </c>
      <c r="F406" s="44"/>
      <c r="G406" s="45" t="str">
        <f>Source!DI149</f>
        <v>)*1,15</v>
      </c>
      <c r="H406" s="46"/>
      <c r="I406" s="45"/>
      <c r="J406" s="45"/>
      <c r="K406" s="46"/>
      <c r="L406" s="47">
        <f>Source!U149</f>
        <v>24.406461499999999</v>
      </c>
    </row>
    <row r="407" spans="1:26" ht="13.8">
      <c r="G407" s="93">
        <f>ROUND(Source!AC149*Source!I149, 0)+ROUND(Source!AF149*Source!I149, 0)+ROUND(Source!AD149*Source!I149, 0)+SUM(H404:H405)</f>
        <v>1466</v>
      </c>
      <c r="H407" s="93"/>
      <c r="J407" s="93">
        <f>Source!O149+SUM(K404:K405)</f>
        <v>18497</v>
      </c>
      <c r="K407" s="93"/>
      <c r="L407" s="38">
        <f>Source!U149</f>
        <v>24.406461499999999</v>
      </c>
      <c r="O407" s="37">
        <f>G407</f>
        <v>1466</v>
      </c>
      <c r="P407" s="37">
        <f>J407</f>
        <v>18497</v>
      </c>
      <c r="Q407" s="48">
        <f>L407</f>
        <v>24.406461499999999</v>
      </c>
      <c r="W407">
        <f>IF(Source!BI149&lt;=1,G407, 0)</f>
        <v>1466</v>
      </c>
      <c r="X407">
        <f>IF(Source!BI149=2,G407, 0)</f>
        <v>0</v>
      </c>
      <c r="Y407">
        <f>IF(Source!BI149=3,G407, 0)</f>
        <v>0</v>
      </c>
      <c r="Z407">
        <f>IF(Source!BI149=4,G407, 0)</f>
        <v>0</v>
      </c>
    </row>
    <row r="408" spans="1:26" ht="86.4">
      <c r="A408" s="27" t="str">
        <f>Source!E150</f>
        <v>49</v>
      </c>
      <c r="B408" s="28" t="str">
        <f>Source!F150</f>
        <v>15-02-019-4</v>
      </c>
      <c r="C408" s="25" t="str">
        <f>Source!G150</f>
        <v>Сплошное выравнивание внутренних поверхностей (однослойное оштукатуривание)из сухих растворных смесей толщиной до 10 мм потолков</v>
      </c>
      <c r="D408" s="30" t="str">
        <f>Source!H150</f>
        <v>100 м2 оштукатуриваемой поверхности</v>
      </c>
      <c r="E408" s="10">
        <f>Source!I150</f>
        <v>0.3518</v>
      </c>
      <c r="F408" s="32">
        <f>IF(Source!AK150&lt;&gt; 0, Source!AK150,Source!AL150 + Source!AM150 + Source!AO150)</f>
        <v>3480.04</v>
      </c>
      <c r="G408" s="31"/>
      <c r="H408" s="33"/>
      <c r="I408" s="31" t="str">
        <f>Source!BO150</f>
        <v>15-02-019-4</v>
      </c>
      <c r="J408" s="31"/>
      <c r="K408" s="33"/>
      <c r="L408" s="34"/>
      <c r="S408">
        <f>ROUND((Source!FX150/100)*((ROUND(Source!AF150*Source!I150, 0)+ROUND(Source!AE150*Source!I150, 0))), 0)</f>
        <v>160</v>
      </c>
      <c r="T408">
        <f>Source!X150</f>
        <v>3334</v>
      </c>
      <c r="U408">
        <f>ROUND((Source!FY150/100)*((ROUND(Source!AF150*Source!I150, 0)+ROUND(Source!AE150*Source!I150, 0))), 0)</f>
        <v>102</v>
      </c>
      <c r="V408">
        <f>Source!Y150</f>
        <v>2122</v>
      </c>
    </row>
    <row r="409" spans="1:26">
      <c r="C409" s="49" t="str">
        <f>"Объем: "&amp;Source!I150&amp;"=35,18/"&amp;"100"</f>
        <v>Объем: 0,3518=35,18/100</v>
      </c>
    </row>
    <row r="410" spans="1:26" ht="14.4">
      <c r="A410" s="27"/>
      <c r="B410" s="28"/>
      <c r="C410" s="25" t="s">
        <v>962</v>
      </c>
      <c r="D410" s="30"/>
      <c r="E410" s="10"/>
      <c r="F410" s="32">
        <f>Source!AO150</f>
        <v>576.1</v>
      </c>
      <c r="G410" s="31" t="str">
        <f>Source!DG150</f>
        <v>)*1,15</v>
      </c>
      <c r="H410" s="33">
        <f>ROUND(Source!AF150*Source!I150, 0)</f>
        <v>233</v>
      </c>
      <c r="I410" s="31"/>
      <c r="J410" s="31">
        <f>IF(Source!BA150&lt;&gt; 0, Source!BA150, 1)</f>
        <v>20.88</v>
      </c>
      <c r="K410" s="33">
        <f>Source!S150</f>
        <v>4867</v>
      </c>
      <c r="L410" s="34"/>
      <c r="R410">
        <f>H410</f>
        <v>233</v>
      </c>
    </row>
    <row r="411" spans="1:26" ht="14.4">
      <c r="A411" s="27"/>
      <c r="B411" s="28"/>
      <c r="C411" s="25" t="s">
        <v>125</v>
      </c>
      <c r="D411" s="30"/>
      <c r="E411" s="10"/>
      <c r="F411" s="32">
        <f>Source!AM150</f>
        <v>32.21</v>
      </c>
      <c r="G411" s="31" t="str">
        <f>Source!DE150</f>
        <v>)*1,25</v>
      </c>
      <c r="H411" s="33">
        <f>ROUND(Source!AD150*Source!I150, 0)</f>
        <v>14</v>
      </c>
      <c r="I411" s="31"/>
      <c r="J411" s="31">
        <f>IF(Source!BB150&lt;&gt; 0, Source!BB150, 1)</f>
        <v>15.48</v>
      </c>
      <c r="K411" s="33">
        <f>Source!Q150</f>
        <v>219</v>
      </c>
      <c r="L411" s="34"/>
    </row>
    <row r="412" spans="1:26" ht="14.4">
      <c r="A412" s="27"/>
      <c r="B412" s="28"/>
      <c r="C412" s="25" t="s">
        <v>963</v>
      </c>
      <c r="D412" s="30"/>
      <c r="E412" s="10"/>
      <c r="F412" s="32">
        <f>Source!AN150</f>
        <v>20.190000000000001</v>
      </c>
      <c r="G412" s="31" t="str">
        <f>Source!DF150</f>
        <v>)*1,25</v>
      </c>
      <c r="H412" s="33">
        <f>ROUND(Source!AE150*Source!I150, 0)</f>
        <v>9</v>
      </c>
      <c r="I412" s="31"/>
      <c r="J412" s="31">
        <f>IF(Source!BS150&lt;&gt; 0, Source!BS150, 1)</f>
        <v>20.88</v>
      </c>
      <c r="K412" s="33">
        <f>Source!R150</f>
        <v>185</v>
      </c>
      <c r="L412" s="34"/>
      <c r="R412">
        <f>H412</f>
        <v>9</v>
      </c>
    </row>
    <row r="413" spans="1:26" ht="14.4">
      <c r="A413" s="27"/>
      <c r="B413" s="28"/>
      <c r="C413" s="25" t="s">
        <v>969</v>
      </c>
      <c r="D413" s="30"/>
      <c r="E413" s="10"/>
      <c r="F413" s="32">
        <f>Source!AL150</f>
        <v>2871.73</v>
      </c>
      <c r="G413" s="31" t="str">
        <f>Source!DD150</f>
        <v/>
      </c>
      <c r="H413" s="33">
        <f>ROUND(Source!AC150*Source!I150, 0)</f>
        <v>1010</v>
      </c>
      <c r="I413" s="31"/>
      <c r="J413" s="31">
        <f>IF(Source!BC150&lt;&gt; 0, Source!BC150, 1)</f>
        <v>8.92</v>
      </c>
      <c r="K413" s="33">
        <f>Source!P150</f>
        <v>9012</v>
      </c>
      <c r="L413" s="34"/>
    </row>
    <row r="414" spans="1:26" ht="14.4">
      <c r="A414" s="27"/>
      <c r="B414" s="28"/>
      <c r="C414" s="25" t="s">
        <v>964</v>
      </c>
      <c r="D414" s="30" t="s">
        <v>965</v>
      </c>
      <c r="E414" s="10">
        <f>Source!BZ150</f>
        <v>105</v>
      </c>
      <c r="F414" s="92" t="str">
        <f>CONCATENATE(" )", Source!DL150, Source!FT150, "=", Source!FX150)</f>
        <v xml:space="preserve"> )*0,9*0,7=66,15</v>
      </c>
      <c r="G414" s="90"/>
      <c r="H414" s="33">
        <f>SUM(S408:S416)</f>
        <v>160</v>
      </c>
      <c r="I414" s="35"/>
      <c r="J414" s="25">
        <f>Source!AT150</f>
        <v>66</v>
      </c>
      <c r="K414" s="33">
        <f>SUM(T408:T416)</f>
        <v>3334</v>
      </c>
      <c r="L414" s="34"/>
    </row>
    <row r="415" spans="1:26" ht="14.4">
      <c r="A415" s="27"/>
      <c r="B415" s="28"/>
      <c r="C415" s="25" t="s">
        <v>966</v>
      </c>
      <c r="D415" s="30" t="s">
        <v>965</v>
      </c>
      <c r="E415" s="10">
        <f>Source!CA150</f>
        <v>55</v>
      </c>
      <c r="F415" s="92" t="str">
        <f>CONCATENATE(" )", Source!DM150, Source!FU150, "=", Source!FY150)</f>
        <v xml:space="preserve"> )*0,85*0,9=42,075</v>
      </c>
      <c r="G415" s="90"/>
      <c r="H415" s="33">
        <f>SUM(U408:U416)</f>
        <v>102</v>
      </c>
      <c r="I415" s="35"/>
      <c r="J415" s="25">
        <f>Source!AU150</f>
        <v>42</v>
      </c>
      <c r="K415" s="33">
        <f>SUM(V408:V416)</f>
        <v>2122</v>
      </c>
      <c r="L415" s="34"/>
    </row>
    <row r="416" spans="1:26" ht="14.4">
      <c r="A416" s="39"/>
      <c r="B416" s="40"/>
      <c r="C416" s="41" t="s">
        <v>967</v>
      </c>
      <c r="D416" s="42" t="s">
        <v>968</v>
      </c>
      <c r="E416" s="43">
        <f>Source!AQ150</f>
        <v>63.1</v>
      </c>
      <c r="F416" s="44"/>
      <c r="G416" s="45" t="str">
        <f>Source!DI150</f>
        <v>)*1,15</v>
      </c>
      <c r="H416" s="46"/>
      <c r="I416" s="45"/>
      <c r="J416" s="45"/>
      <c r="K416" s="46"/>
      <c r="L416" s="47">
        <f>Source!U150</f>
        <v>25.528366999999999</v>
      </c>
    </row>
    <row r="417" spans="1:26" ht="13.8">
      <c r="G417" s="93">
        <f>ROUND(Source!AC150*Source!I150, 0)+ROUND(Source!AF150*Source!I150, 0)+ROUND(Source!AD150*Source!I150, 0)+SUM(H414:H415)</f>
        <v>1519</v>
      </c>
      <c r="H417" s="93"/>
      <c r="J417" s="93">
        <f>Source!O150+SUM(K414:K415)</f>
        <v>19554</v>
      </c>
      <c r="K417" s="93"/>
      <c r="L417" s="38">
        <f>Source!U150</f>
        <v>25.528366999999999</v>
      </c>
      <c r="O417" s="37">
        <f>G417</f>
        <v>1519</v>
      </c>
      <c r="P417" s="37">
        <f>J417</f>
        <v>19554</v>
      </c>
      <c r="Q417" s="48">
        <f>L417</f>
        <v>25.528366999999999</v>
      </c>
      <c r="W417">
        <f>IF(Source!BI150&lt;=1,G417, 0)</f>
        <v>1519</v>
      </c>
      <c r="X417">
        <f>IF(Source!BI150=2,G417, 0)</f>
        <v>0</v>
      </c>
      <c r="Y417">
        <f>IF(Source!BI150=3,G417, 0)</f>
        <v>0</v>
      </c>
      <c r="Z417">
        <f>IF(Source!BI150=4,G417, 0)</f>
        <v>0</v>
      </c>
    </row>
    <row r="418" spans="1:26" ht="72">
      <c r="A418" s="27" t="str">
        <f>Source!E151</f>
        <v>50</v>
      </c>
      <c r="B418" s="28" t="str">
        <f>Source!F151</f>
        <v>15-04-005-3</v>
      </c>
      <c r="C418" s="25" t="str">
        <f>Source!G151</f>
        <v>Окраска поливинилацетатными водоэмульсионными составами улучшенная по штукатурке стен</v>
      </c>
      <c r="D418" s="30" t="str">
        <f>Source!H151</f>
        <v>100 м2 окрашиваемой поверхности</v>
      </c>
      <c r="E418" s="10">
        <f>Source!I151</f>
        <v>0.40899999999999997</v>
      </c>
      <c r="F418" s="32">
        <f>IF(Source!AK151&lt;&gt; 0, Source!AK151,Source!AL151 + Source!AM151 + Source!AO151)</f>
        <v>1629.52</v>
      </c>
      <c r="G418" s="31"/>
      <c r="H418" s="33"/>
      <c r="I418" s="31" t="str">
        <f>Source!BO151</f>
        <v>15-04-005-3</v>
      </c>
      <c r="J418" s="31"/>
      <c r="K418" s="33"/>
      <c r="L418" s="34"/>
      <c r="S418">
        <f>ROUND((Source!FX151/100)*((ROUND(Source!AF151*Source!I151, 0)+ROUND(Source!AE151*Source!I151, 0))), 0)</f>
        <v>112</v>
      </c>
      <c r="T418">
        <f>Source!X151</f>
        <v>2332</v>
      </c>
      <c r="U418">
        <f>ROUND((Source!FY151/100)*((ROUND(Source!AF151*Source!I151, 0)+ROUND(Source!AE151*Source!I151, 0))), 0)</f>
        <v>71</v>
      </c>
      <c r="V418">
        <f>Source!Y151</f>
        <v>1484</v>
      </c>
    </row>
    <row r="419" spans="1:26">
      <c r="C419" s="49" t="str">
        <f>"Объем: "&amp;Source!I151&amp;"=40,9/"&amp;"100"</f>
        <v>Объем: 0,409=40,9/100</v>
      </c>
    </row>
    <row r="420" spans="1:26" ht="14.4">
      <c r="A420" s="27"/>
      <c r="B420" s="28"/>
      <c r="C420" s="25" t="s">
        <v>962</v>
      </c>
      <c r="D420" s="30"/>
      <c r="E420" s="10"/>
      <c r="F420" s="32">
        <f>Source!AO151</f>
        <v>359.5</v>
      </c>
      <c r="G420" s="31" t="str">
        <f>Source!DG151</f>
        <v>)*1,15</v>
      </c>
      <c r="H420" s="33">
        <f>ROUND(Source!AF151*Source!I151, 0)</f>
        <v>169</v>
      </c>
      <c r="I420" s="31"/>
      <c r="J420" s="31">
        <f>IF(Source!BA151&lt;&gt; 0, Source!BA151, 1)</f>
        <v>20.88</v>
      </c>
      <c r="K420" s="33">
        <f>Source!S151</f>
        <v>3531</v>
      </c>
      <c r="L420" s="34"/>
      <c r="R420">
        <f>H420</f>
        <v>169</v>
      </c>
    </row>
    <row r="421" spans="1:26" ht="14.4">
      <c r="A421" s="27"/>
      <c r="B421" s="28"/>
      <c r="C421" s="25" t="s">
        <v>125</v>
      </c>
      <c r="D421" s="30"/>
      <c r="E421" s="10"/>
      <c r="F421" s="32">
        <f>Source!AM151</f>
        <v>14.41</v>
      </c>
      <c r="G421" s="31" t="str">
        <f>Source!DE151</f>
        <v>)*1,25</v>
      </c>
      <c r="H421" s="33">
        <f>ROUND(Source!AD151*Source!I151, 0)</f>
        <v>7</v>
      </c>
      <c r="I421" s="31"/>
      <c r="J421" s="31">
        <f>IF(Source!BB151&lt;&gt; 0, Source!BB151, 1)</f>
        <v>9.24</v>
      </c>
      <c r="K421" s="33">
        <f>Source!Q151</f>
        <v>68</v>
      </c>
      <c r="L421" s="34"/>
    </row>
    <row r="422" spans="1:26" ht="14.4">
      <c r="A422" s="27"/>
      <c r="B422" s="28"/>
      <c r="C422" s="25" t="s">
        <v>963</v>
      </c>
      <c r="D422" s="30"/>
      <c r="E422" s="10"/>
      <c r="F422" s="32">
        <f>Source!AN151</f>
        <v>0.24</v>
      </c>
      <c r="G422" s="31" t="str">
        <f>Source!DF151</f>
        <v>)*1,25</v>
      </c>
      <c r="H422" s="33">
        <f>ROUND(Source!AE151*Source!I151, 0)</f>
        <v>0</v>
      </c>
      <c r="I422" s="31"/>
      <c r="J422" s="31">
        <f>IF(Source!BS151&lt;&gt; 0, Source!BS151, 1)</f>
        <v>20.88</v>
      </c>
      <c r="K422" s="33">
        <f>Source!R151</f>
        <v>3</v>
      </c>
      <c r="L422" s="34"/>
      <c r="R422">
        <f>H422</f>
        <v>0</v>
      </c>
    </row>
    <row r="423" spans="1:26" ht="14.4">
      <c r="A423" s="27"/>
      <c r="B423" s="28"/>
      <c r="C423" s="25" t="s">
        <v>969</v>
      </c>
      <c r="D423" s="30"/>
      <c r="E423" s="10"/>
      <c r="F423" s="32">
        <f>Source!AL151</f>
        <v>1255.6099999999999</v>
      </c>
      <c r="G423" s="31" t="str">
        <f>Source!DD151</f>
        <v/>
      </c>
      <c r="H423" s="33">
        <f>ROUND(Source!AC151*Source!I151, 0)</f>
        <v>514</v>
      </c>
      <c r="I423" s="31"/>
      <c r="J423" s="31">
        <f>IF(Source!BC151&lt;&gt; 0, Source!BC151, 1)</f>
        <v>5.89</v>
      </c>
      <c r="K423" s="33">
        <f>Source!P151</f>
        <v>3025</v>
      </c>
      <c r="L423" s="34"/>
    </row>
    <row r="424" spans="1:26" ht="14.4">
      <c r="A424" s="27"/>
      <c r="B424" s="28"/>
      <c r="C424" s="25" t="s">
        <v>964</v>
      </c>
      <c r="D424" s="30" t="s">
        <v>965</v>
      </c>
      <c r="E424" s="10">
        <f>Source!BZ151</f>
        <v>105</v>
      </c>
      <c r="F424" s="92" t="str">
        <f>CONCATENATE(" )", Source!DL151, Source!FT151, "=", Source!FX151)</f>
        <v xml:space="preserve"> )*0,9*0,7=66,15</v>
      </c>
      <c r="G424" s="90"/>
      <c r="H424" s="33">
        <f>SUM(S418:S426)</f>
        <v>112</v>
      </c>
      <c r="I424" s="35"/>
      <c r="J424" s="25">
        <f>Source!AT151</f>
        <v>66</v>
      </c>
      <c r="K424" s="33">
        <f>SUM(T418:T426)</f>
        <v>2332</v>
      </c>
      <c r="L424" s="34"/>
    </row>
    <row r="425" spans="1:26" ht="14.4">
      <c r="A425" s="27"/>
      <c r="B425" s="28"/>
      <c r="C425" s="25" t="s">
        <v>966</v>
      </c>
      <c r="D425" s="30" t="s">
        <v>965</v>
      </c>
      <c r="E425" s="10">
        <f>Source!CA151</f>
        <v>55</v>
      </c>
      <c r="F425" s="92" t="str">
        <f>CONCATENATE(" )", Source!DM151, Source!FU151, "=", Source!FY151)</f>
        <v xml:space="preserve"> )*0,85*0,9=42,075</v>
      </c>
      <c r="G425" s="90"/>
      <c r="H425" s="33">
        <f>SUM(U418:U426)</f>
        <v>71</v>
      </c>
      <c r="I425" s="35"/>
      <c r="J425" s="25">
        <f>Source!AU151</f>
        <v>42</v>
      </c>
      <c r="K425" s="33">
        <f>SUM(V418:V426)</f>
        <v>1484</v>
      </c>
      <c r="L425" s="34"/>
    </row>
    <row r="426" spans="1:26" ht="14.4">
      <c r="A426" s="39"/>
      <c r="B426" s="40"/>
      <c r="C426" s="41" t="s">
        <v>967</v>
      </c>
      <c r="D426" s="42" t="s">
        <v>968</v>
      </c>
      <c r="E426" s="43">
        <f>Source!AQ151</f>
        <v>42.9</v>
      </c>
      <c r="F426" s="44"/>
      <c r="G426" s="45" t="str">
        <f>Source!DI151</f>
        <v>)*1,15</v>
      </c>
      <c r="H426" s="46"/>
      <c r="I426" s="45"/>
      <c r="J426" s="45"/>
      <c r="K426" s="46"/>
      <c r="L426" s="47">
        <f>Source!U151</f>
        <v>20.178014999999995</v>
      </c>
    </row>
    <row r="427" spans="1:26" ht="13.8">
      <c r="G427" s="93">
        <f>ROUND(Source!AC151*Source!I151, 0)+ROUND(Source!AF151*Source!I151, 0)+ROUND(Source!AD151*Source!I151, 0)+SUM(H424:H425)</f>
        <v>873</v>
      </c>
      <c r="H427" s="93"/>
      <c r="J427" s="93">
        <f>Source!O151+SUM(K424:K425)</f>
        <v>10440</v>
      </c>
      <c r="K427" s="93"/>
      <c r="L427" s="38">
        <f>Source!U151</f>
        <v>20.178014999999995</v>
      </c>
      <c r="O427" s="37">
        <f>G427</f>
        <v>873</v>
      </c>
      <c r="P427" s="37">
        <f>J427</f>
        <v>10440</v>
      </c>
      <c r="Q427" s="48">
        <f>L427</f>
        <v>20.178014999999995</v>
      </c>
      <c r="W427">
        <f>IF(Source!BI151&lt;=1,G427, 0)</f>
        <v>873</v>
      </c>
      <c r="X427">
        <f>IF(Source!BI151=2,G427, 0)</f>
        <v>0</v>
      </c>
      <c r="Y427">
        <f>IF(Source!BI151=3,G427, 0)</f>
        <v>0</v>
      </c>
      <c r="Z427">
        <f>IF(Source!BI151=4,G427, 0)</f>
        <v>0</v>
      </c>
    </row>
    <row r="428" spans="1:26" ht="72">
      <c r="A428" s="27" t="str">
        <f>Source!E152</f>
        <v>51</v>
      </c>
      <c r="B428" s="28" t="str">
        <f>Source!F152</f>
        <v>15-04-005-4</v>
      </c>
      <c r="C428" s="25" t="str">
        <f>Source!G152</f>
        <v>Окраска поливинилацетатными водоэмульсионными составами улучшенная по штукатурке потолков</v>
      </c>
      <c r="D428" s="30" t="str">
        <f>Source!H152</f>
        <v>100 м2 окрашиваемой поверхности</v>
      </c>
      <c r="E428" s="10">
        <f>Source!I152</f>
        <v>0.3518</v>
      </c>
      <c r="F428" s="32">
        <f>IF(Source!AK152&lt;&gt; 0, Source!AK152,Source!AL152 + Source!AM152 + Source!AO152)</f>
        <v>1832.67</v>
      </c>
      <c r="G428" s="31"/>
      <c r="H428" s="33"/>
      <c r="I428" s="31" t="str">
        <f>Source!BO152</f>
        <v>15-04-005-4</v>
      </c>
      <c r="J428" s="31"/>
      <c r="K428" s="33"/>
      <c r="L428" s="34"/>
      <c r="S428">
        <f>ROUND((Source!FX152/100)*((ROUND(Source!AF152*Source!I152, 0)+ROUND(Source!AE152*Source!I152, 0))), 0)</f>
        <v>121</v>
      </c>
      <c r="T428">
        <f>Source!X152</f>
        <v>2520</v>
      </c>
      <c r="U428">
        <f>ROUND((Source!FY152/100)*((ROUND(Source!AF152*Source!I152, 0)+ROUND(Source!AE152*Source!I152, 0))), 0)</f>
        <v>77</v>
      </c>
      <c r="V428">
        <f>Source!Y152</f>
        <v>1604</v>
      </c>
    </row>
    <row r="429" spans="1:26">
      <c r="C429" s="49" t="str">
        <f>"Объем: "&amp;Source!I152&amp;"=35,18/"&amp;"100"</f>
        <v>Объем: 0,3518=35,18/100</v>
      </c>
    </row>
    <row r="430" spans="1:26" ht="14.4">
      <c r="A430" s="27"/>
      <c r="B430" s="28"/>
      <c r="C430" s="25" t="s">
        <v>962</v>
      </c>
      <c r="D430" s="30"/>
      <c r="E430" s="10"/>
      <c r="F430" s="32">
        <f>Source!AO152</f>
        <v>451.68</v>
      </c>
      <c r="G430" s="31" t="str">
        <f>Source!DG152</f>
        <v>)*1,15</v>
      </c>
      <c r="H430" s="33">
        <f>ROUND(Source!AF152*Source!I152, 0)</f>
        <v>183</v>
      </c>
      <c r="I430" s="31"/>
      <c r="J430" s="31">
        <f>IF(Source!BA152&lt;&gt; 0, Source!BA152, 1)</f>
        <v>20.88</v>
      </c>
      <c r="K430" s="33">
        <f>Source!S152</f>
        <v>3816</v>
      </c>
      <c r="L430" s="34"/>
      <c r="R430">
        <f>H430</f>
        <v>183</v>
      </c>
    </row>
    <row r="431" spans="1:26" ht="14.4">
      <c r="A431" s="27"/>
      <c r="B431" s="28"/>
      <c r="C431" s="25" t="s">
        <v>125</v>
      </c>
      <c r="D431" s="30"/>
      <c r="E431" s="10"/>
      <c r="F431" s="32">
        <f>Source!AM152</f>
        <v>15.32</v>
      </c>
      <c r="G431" s="31" t="str">
        <f>Source!DE152</f>
        <v>)*1,25</v>
      </c>
      <c r="H431" s="33">
        <f>ROUND(Source!AD152*Source!I152, 0)</f>
        <v>7</v>
      </c>
      <c r="I431" s="31"/>
      <c r="J431" s="31">
        <f>IF(Source!BB152&lt;&gt; 0, Source!BB152, 1)</f>
        <v>9.24</v>
      </c>
      <c r="K431" s="33">
        <f>Source!Q152</f>
        <v>62</v>
      </c>
      <c r="L431" s="34"/>
    </row>
    <row r="432" spans="1:26" ht="14.4">
      <c r="A432" s="27"/>
      <c r="B432" s="28"/>
      <c r="C432" s="25" t="s">
        <v>963</v>
      </c>
      <c r="D432" s="30"/>
      <c r="E432" s="10"/>
      <c r="F432" s="32">
        <f>Source!AN152</f>
        <v>0.24</v>
      </c>
      <c r="G432" s="31" t="str">
        <f>Source!DF152</f>
        <v>)*1,25</v>
      </c>
      <c r="H432" s="33">
        <f>ROUND(Source!AE152*Source!I152, 0)</f>
        <v>0</v>
      </c>
      <c r="I432" s="31"/>
      <c r="J432" s="31">
        <f>IF(Source!BS152&lt;&gt; 0, Source!BS152, 1)</f>
        <v>20.88</v>
      </c>
      <c r="K432" s="33">
        <f>Source!R152</f>
        <v>2</v>
      </c>
      <c r="L432" s="34"/>
      <c r="R432">
        <f>H432</f>
        <v>0</v>
      </c>
    </row>
    <row r="433" spans="1:26" ht="14.4">
      <c r="A433" s="27"/>
      <c r="B433" s="28"/>
      <c r="C433" s="25" t="s">
        <v>969</v>
      </c>
      <c r="D433" s="30"/>
      <c r="E433" s="10"/>
      <c r="F433" s="32">
        <f>Source!AL152</f>
        <v>1365.67</v>
      </c>
      <c r="G433" s="31" t="str">
        <f>Source!DD152</f>
        <v/>
      </c>
      <c r="H433" s="33">
        <f>ROUND(Source!AC152*Source!I152, 0)</f>
        <v>480</v>
      </c>
      <c r="I433" s="31"/>
      <c r="J433" s="31">
        <f>IF(Source!BC152&lt;&gt; 0, Source!BC152, 1)</f>
        <v>5.9</v>
      </c>
      <c r="K433" s="33">
        <f>Source!P152</f>
        <v>2835</v>
      </c>
      <c r="L433" s="34"/>
    </row>
    <row r="434" spans="1:26" ht="14.4">
      <c r="A434" s="27"/>
      <c r="B434" s="28"/>
      <c r="C434" s="25" t="s">
        <v>964</v>
      </c>
      <c r="D434" s="30" t="s">
        <v>965</v>
      </c>
      <c r="E434" s="10">
        <f>Source!BZ152</f>
        <v>105</v>
      </c>
      <c r="F434" s="92" t="str">
        <f>CONCATENATE(" )", Source!DL152, Source!FT152, "=", Source!FX152)</f>
        <v xml:space="preserve"> )*0,9*0,7=66,15</v>
      </c>
      <c r="G434" s="90"/>
      <c r="H434" s="33">
        <f>SUM(S428:S436)</f>
        <v>121</v>
      </c>
      <c r="I434" s="35"/>
      <c r="J434" s="25">
        <f>Source!AT152</f>
        <v>66</v>
      </c>
      <c r="K434" s="33">
        <f>SUM(T428:T436)</f>
        <v>2520</v>
      </c>
      <c r="L434" s="34"/>
    </row>
    <row r="435" spans="1:26" ht="14.4">
      <c r="A435" s="27"/>
      <c r="B435" s="28"/>
      <c r="C435" s="25" t="s">
        <v>966</v>
      </c>
      <c r="D435" s="30" t="s">
        <v>965</v>
      </c>
      <c r="E435" s="10">
        <f>Source!CA152</f>
        <v>55</v>
      </c>
      <c r="F435" s="92" t="str">
        <f>CONCATENATE(" )", Source!DM152, Source!FU152, "=", Source!FY152)</f>
        <v xml:space="preserve"> )*0,85*0,9=42,075</v>
      </c>
      <c r="G435" s="90"/>
      <c r="H435" s="33">
        <f>SUM(U428:U436)</f>
        <v>77</v>
      </c>
      <c r="I435" s="35"/>
      <c r="J435" s="25">
        <f>Source!AU152</f>
        <v>42</v>
      </c>
      <c r="K435" s="33">
        <f>SUM(V428:V436)</f>
        <v>1604</v>
      </c>
      <c r="L435" s="34"/>
    </row>
    <row r="436" spans="1:26" ht="14.4">
      <c r="A436" s="39"/>
      <c r="B436" s="40"/>
      <c r="C436" s="41" t="s">
        <v>967</v>
      </c>
      <c r="D436" s="42" t="s">
        <v>968</v>
      </c>
      <c r="E436" s="43">
        <f>Source!AQ152</f>
        <v>53.9</v>
      </c>
      <c r="F436" s="44"/>
      <c r="G436" s="45" t="str">
        <f>Source!DI152</f>
        <v>)*1,15</v>
      </c>
      <c r="H436" s="46"/>
      <c r="I436" s="45"/>
      <c r="J436" s="45"/>
      <c r="K436" s="46"/>
      <c r="L436" s="47">
        <f>Source!U152</f>
        <v>21.806322999999999</v>
      </c>
    </row>
    <row r="437" spans="1:26" ht="13.8">
      <c r="G437" s="93">
        <f>ROUND(Source!AC152*Source!I152, 0)+ROUND(Source!AF152*Source!I152, 0)+ROUND(Source!AD152*Source!I152, 0)+SUM(H434:H435)</f>
        <v>868</v>
      </c>
      <c r="H437" s="93"/>
      <c r="J437" s="93">
        <f>Source!O152+SUM(K434:K435)</f>
        <v>10837</v>
      </c>
      <c r="K437" s="93"/>
      <c r="L437" s="38">
        <f>Source!U152</f>
        <v>21.806322999999999</v>
      </c>
      <c r="O437" s="37">
        <f>G437</f>
        <v>868</v>
      </c>
      <c r="P437" s="37">
        <f>J437</f>
        <v>10837</v>
      </c>
      <c r="Q437" s="48">
        <f>L437</f>
        <v>21.806322999999999</v>
      </c>
      <c r="W437">
        <f>IF(Source!BI152&lt;=1,G437, 0)</f>
        <v>868</v>
      </c>
      <c r="X437">
        <f>IF(Source!BI152=2,G437, 0)</f>
        <v>0</v>
      </c>
      <c r="Y437">
        <f>IF(Source!BI152=3,G437, 0)</f>
        <v>0</v>
      </c>
      <c r="Z437">
        <f>IF(Source!BI152=4,G437, 0)</f>
        <v>0</v>
      </c>
    </row>
    <row r="438" spans="1:26" ht="28.8">
      <c r="A438" s="27" t="str">
        <f>Source!E153</f>
        <v>52</v>
      </c>
      <c r="B438" s="28" t="str">
        <f>Source!F153</f>
        <v>11-01-011-1</v>
      </c>
      <c r="C438" s="25" t="str">
        <f>Source!G153</f>
        <v>Устройство стяжек цементных толщиной 20 мм</v>
      </c>
      <c r="D438" s="30" t="str">
        <f>Source!H153</f>
        <v>100 м2 стяжки</v>
      </c>
      <c r="E438" s="10">
        <f>Source!I153</f>
        <v>0.35899999999999999</v>
      </c>
      <c r="F438" s="32">
        <f>IF(Source!AK153&lt;&gt; 0, Source!AK153,Source!AL153 + Source!AM153 + Source!AO153)</f>
        <v>1311.85</v>
      </c>
      <c r="G438" s="31"/>
      <c r="H438" s="33"/>
      <c r="I438" s="31" t="str">
        <f>Source!BO153</f>
        <v>11-01-011-1</v>
      </c>
      <c r="J438" s="31"/>
      <c r="K438" s="33"/>
      <c r="L438" s="34"/>
      <c r="S438">
        <f>ROUND((Source!FX153/100)*((ROUND(Source!AF153*Source!I153, 0)+ROUND(Source!AE153*Source!I153, 0))), 0)</f>
        <v>99</v>
      </c>
      <c r="T438">
        <f>Source!X153</f>
        <v>2060</v>
      </c>
      <c r="U438">
        <f>ROUND((Source!FY153/100)*((ROUND(Source!AF153*Source!I153, 0)+ROUND(Source!AE153*Source!I153, 0))), 0)</f>
        <v>73</v>
      </c>
      <c r="V438">
        <f>Source!Y153</f>
        <v>1525</v>
      </c>
    </row>
    <row r="439" spans="1:26">
      <c r="C439" s="49" t="str">
        <f>"Объем: "&amp;Source!I153&amp;"=35,9/"&amp;"100"</f>
        <v>Объем: 0,359=35,9/100</v>
      </c>
    </row>
    <row r="440" spans="1:26" ht="14.4">
      <c r="A440" s="27"/>
      <c r="B440" s="28"/>
      <c r="C440" s="25" t="s">
        <v>962</v>
      </c>
      <c r="D440" s="30"/>
      <c r="E440" s="10"/>
      <c r="F440" s="32">
        <f>Source!AO153</f>
        <v>293.56</v>
      </c>
      <c r="G440" s="31" t="str">
        <f>Source!DG153</f>
        <v>)*1,15</v>
      </c>
      <c r="H440" s="33">
        <f>ROUND(Source!AF153*Source!I153, 0)</f>
        <v>121</v>
      </c>
      <c r="I440" s="31"/>
      <c r="J440" s="31">
        <f>IF(Source!BA153&lt;&gt; 0, Source!BA153, 1)</f>
        <v>20.88</v>
      </c>
      <c r="K440" s="33">
        <f>Source!S153</f>
        <v>2531</v>
      </c>
      <c r="L440" s="34"/>
      <c r="R440">
        <f>H440</f>
        <v>121</v>
      </c>
    </row>
    <row r="441" spans="1:26" ht="14.4">
      <c r="A441" s="27"/>
      <c r="B441" s="28"/>
      <c r="C441" s="25" t="s">
        <v>125</v>
      </c>
      <c r="D441" s="30"/>
      <c r="E441" s="10"/>
      <c r="F441" s="32">
        <f>Source!AM153</f>
        <v>46.74</v>
      </c>
      <c r="G441" s="31" t="str">
        <f>Source!DE153</f>
        <v>)*1,25</v>
      </c>
      <c r="H441" s="33">
        <f>ROUND(Source!AD153*Source!I153, 0)</f>
        <v>21</v>
      </c>
      <c r="I441" s="31"/>
      <c r="J441" s="31">
        <f>IF(Source!BB153&lt;&gt; 0, Source!BB153, 1)</f>
        <v>9.51</v>
      </c>
      <c r="K441" s="33">
        <f>Source!Q153</f>
        <v>199</v>
      </c>
      <c r="L441" s="34"/>
    </row>
    <row r="442" spans="1:26" ht="14.4">
      <c r="A442" s="27"/>
      <c r="B442" s="28"/>
      <c r="C442" s="25" t="s">
        <v>963</v>
      </c>
      <c r="D442" s="30"/>
      <c r="E442" s="10"/>
      <c r="F442" s="32">
        <f>Source!AN153</f>
        <v>15.37</v>
      </c>
      <c r="G442" s="31" t="str">
        <f>Source!DF153</f>
        <v>)*1,25</v>
      </c>
      <c r="H442" s="33">
        <f>ROUND(Source!AE153*Source!I153, 0)</f>
        <v>7</v>
      </c>
      <c r="I442" s="31"/>
      <c r="J442" s="31">
        <f>IF(Source!BS153&lt;&gt; 0, Source!BS153, 1)</f>
        <v>20.88</v>
      </c>
      <c r="K442" s="33">
        <f>Source!R153</f>
        <v>144</v>
      </c>
      <c r="L442" s="34"/>
      <c r="R442">
        <f>H442</f>
        <v>7</v>
      </c>
    </row>
    <row r="443" spans="1:26" ht="14.4">
      <c r="A443" s="27"/>
      <c r="B443" s="28"/>
      <c r="C443" s="25" t="s">
        <v>969</v>
      </c>
      <c r="D443" s="30"/>
      <c r="E443" s="10"/>
      <c r="F443" s="32">
        <f>Source!AL153</f>
        <v>971.55</v>
      </c>
      <c r="G443" s="31" t="str">
        <f>Source!DD153</f>
        <v/>
      </c>
      <c r="H443" s="33">
        <f>ROUND(Source!AC153*Source!I153, 0)</f>
        <v>349</v>
      </c>
      <c r="I443" s="31"/>
      <c r="J443" s="31">
        <f>IF(Source!BC153&lt;&gt; 0, Source!BC153, 1)</f>
        <v>7.84</v>
      </c>
      <c r="K443" s="33">
        <f>Source!P153</f>
        <v>2734</v>
      </c>
      <c r="L443" s="34"/>
    </row>
    <row r="444" spans="1:26" ht="14.4">
      <c r="A444" s="27"/>
      <c r="B444" s="28"/>
      <c r="C444" s="25" t="s">
        <v>964</v>
      </c>
      <c r="D444" s="30" t="s">
        <v>965</v>
      </c>
      <c r="E444" s="10">
        <f>Source!BZ153</f>
        <v>123</v>
      </c>
      <c r="F444" s="92" t="str">
        <f>CONCATENATE(" )", Source!DL153, Source!FT153, "=", Source!FX153)</f>
        <v xml:space="preserve"> )*0,9*0,7=77,49</v>
      </c>
      <c r="G444" s="90"/>
      <c r="H444" s="33">
        <f>SUM(S438:S446)</f>
        <v>99</v>
      </c>
      <c r="I444" s="35"/>
      <c r="J444" s="25">
        <f>Source!AT153</f>
        <v>77</v>
      </c>
      <c r="K444" s="33">
        <f>SUM(T438:T446)</f>
        <v>2060</v>
      </c>
      <c r="L444" s="34"/>
    </row>
    <row r="445" spans="1:26" ht="14.4">
      <c r="A445" s="27"/>
      <c r="B445" s="28"/>
      <c r="C445" s="25" t="s">
        <v>966</v>
      </c>
      <c r="D445" s="30" t="s">
        <v>965</v>
      </c>
      <c r="E445" s="10">
        <f>Source!CA153</f>
        <v>75</v>
      </c>
      <c r="F445" s="92" t="str">
        <f>CONCATENATE(" )", Source!DM153, Source!FU153, "=", Source!FY153)</f>
        <v xml:space="preserve"> )*0,85*0,9=57,375</v>
      </c>
      <c r="G445" s="90"/>
      <c r="H445" s="33">
        <f>SUM(U438:U446)</f>
        <v>73</v>
      </c>
      <c r="I445" s="35"/>
      <c r="J445" s="25">
        <f>Source!AU153</f>
        <v>57</v>
      </c>
      <c r="K445" s="33">
        <f>SUM(V438:V446)</f>
        <v>1525</v>
      </c>
      <c r="L445" s="34"/>
    </row>
    <row r="446" spans="1:26" ht="14.4">
      <c r="A446" s="39"/>
      <c r="B446" s="40"/>
      <c r="C446" s="41" t="s">
        <v>967</v>
      </c>
      <c r="D446" s="42" t="s">
        <v>968</v>
      </c>
      <c r="E446" s="43">
        <f>Source!AQ153</f>
        <v>39.51</v>
      </c>
      <c r="F446" s="44"/>
      <c r="G446" s="45" t="str">
        <f>Source!DI153</f>
        <v>)*1,15</v>
      </c>
      <c r="H446" s="46"/>
      <c r="I446" s="45"/>
      <c r="J446" s="45"/>
      <c r="K446" s="46"/>
      <c r="L446" s="47">
        <f>Source!U153</f>
        <v>16.311703499999997</v>
      </c>
    </row>
    <row r="447" spans="1:26" ht="13.8">
      <c r="G447" s="93">
        <f>ROUND(Source!AC153*Source!I153, 0)+ROUND(Source!AF153*Source!I153, 0)+ROUND(Source!AD153*Source!I153, 0)+SUM(H444:H445)</f>
        <v>663</v>
      </c>
      <c r="H447" s="93"/>
      <c r="J447" s="93">
        <f>Source!O153+SUM(K444:K445)</f>
        <v>9049</v>
      </c>
      <c r="K447" s="93"/>
      <c r="L447" s="38">
        <f>Source!U153</f>
        <v>16.311703499999997</v>
      </c>
      <c r="O447" s="37">
        <f>G447</f>
        <v>663</v>
      </c>
      <c r="P447" s="37">
        <f>J447</f>
        <v>9049</v>
      </c>
      <c r="Q447" s="48">
        <f>L447</f>
        <v>16.311703499999997</v>
      </c>
      <c r="W447">
        <f>IF(Source!BI153&lt;=1,G447, 0)</f>
        <v>663</v>
      </c>
      <c r="X447">
        <f>IF(Source!BI153=2,G447, 0)</f>
        <v>0</v>
      </c>
      <c r="Y447">
        <f>IF(Source!BI153=3,G447, 0)</f>
        <v>0</v>
      </c>
      <c r="Z447">
        <f>IF(Source!BI153=4,G447, 0)</f>
        <v>0</v>
      </c>
    </row>
    <row r="448" spans="1:26" ht="42">
      <c r="A448" s="27" t="str">
        <f>Source!E154</f>
        <v>53</v>
      </c>
      <c r="B448" s="28" t="str">
        <f>Source!F154</f>
        <v>11-01-011-2</v>
      </c>
      <c r="C448" s="25" t="str">
        <f>Source!G154</f>
        <v>Устройство стяжек на каждые 5 мм изменения толщины стяжки добавлять или исключать к расценке 11-01-011-01</v>
      </c>
      <c r="D448" s="30" t="str">
        <f>Source!H154</f>
        <v>100 м2 стяжки</v>
      </c>
      <c r="E448" s="10">
        <f>Source!I154</f>
        <v>0.35899999999999999</v>
      </c>
      <c r="F448" s="32">
        <f>IF(Source!AK154&lt;&gt; 0, Source!AK154,Source!AL154 + Source!AM154 + Source!AO154)</f>
        <v>252.72</v>
      </c>
      <c r="G448" s="31"/>
      <c r="H448" s="33"/>
      <c r="I448" s="31" t="str">
        <f>Source!BO154</f>
        <v>11-01-011-2</v>
      </c>
      <c r="J448" s="31"/>
      <c r="K448" s="33"/>
      <c r="L448" s="34"/>
      <c r="S448">
        <f>ROUND((Source!FX154/100)*((ROUND(Source!AF154*Source!I154, 0)+ROUND(Source!AE154*Source!I154, 0))), 0)</f>
        <v>9</v>
      </c>
      <c r="T448">
        <f>Source!X154</f>
        <v>172</v>
      </c>
      <c r="U448">
        <f>ROUND((Source!FY154/100)*((ROUND(Source!AF154*Source!I154, 0)+ROUND(Source!AE154*Source!I154, 0))), 0)</f>
        <v>6</v>
      </c>
      <c r="V448">
        <f>Source!Y154</f>
        <v>127</v>
      </c>
    </row>
    <row r="449" spans="1:26">
      <c r="C449" s="49" t="str">
        <f>"Объем: "&amp;Source!I154&amp;"=35,9/"&amp;"100"</f>
        <v>Объем: 0,359=35,9/100</v>
      </c>
    </row>
    <row r="450" spans="1:26" ht="14.4">
      <c r="A450" s="27"/>
      <c r="B450" s="28"/>
      <c r="C450" s="25" t="s">
        <v>962</v>
      </c>
      <c r="D450" s="30"/>
      <c r="E450" s="10"/>
      <c r="F450" s="32">
        <f>Source!AO154</f>
        <v>3.72</v>
      </c>
      <c r="G450" s="31" t="str">
        <f>Source!DG154</f>
        <v>)*1,15*4</v>
      </c>
      <c r="H450" s="33">
        <f>ROUND(Source!AF154*Source!I154, 0)</f>
        <v>6</v>
      </c>
      <c r="I450" s="31"/>
      <c r="J450" s="31">
        <f>IF(Source!BA154&lt;&gt; 0, Source!BA154, 1)</f>
        <v>20.88</v>
      </c>
      <c r="K450" s="33">
        <f>Source!S154</f>
        <v>128</v>
      </c>
      <c r="L450" s="34"/>
      <c r="R450">
        <f>H450</f>
        <v>6</v>
      </c>
    </row>
    <row r="451" spans="1:26" ht="14.4">
      <c r="A451" s="27"/>
      <c r="B451" s="28"/>
      <c r="C451" s="25" t="s">
        <v>125</v>
      </c>
      <c r="D451" s="30"/>
      <c r="E451" s="10"/>
      <c r="F451" s="32">
        <f>Source!AM154</f>
        <v>8.27</v>
      </c>
      <c r="G451" s="31" t="str">
        <f>Source!DE154</f>
        <v>)*1,25*4</v>
      </c>
      <c r="H451" s="33">
        <f>ROUND(Source!AD154*Source!I154, 0)</f>
        <v>15</v>
      </c>
      <c r="I451" s="31"/>
      <c r="J451" s="31">
        <f>IF(Source!BB154&lt;&gt; 0, Source!BB154, 1)</f>
        <v>9.1999999999999993</v>
      </c>
      <c r="K451" s="33">
        <f>Source!Q154</f>
        <v>137</v>
      </c>
      <c r="L451" s="34"/>
    </row>
    <row r="452" spans="1:26" ht="14.4">
      <c r="A452" s="27"/>
      <c r="B452" s="28"/>
      <c r="C452" s="25" t="s">
        <v>963</v>
      </c>
      <c r="D452" s="30"/>
      <c r="E452" s="10"/>
      <c r="F452" s="32">
        <f>Source!AN154</f>
        <v>2.54</v>
      </c>
      <c r="G452" s="31" t="str">
        <f>Source!DF154</f>
        <v>)*1,25*4</v>
      </c>
      <c r="H452" s="33">
        <f>ROUND(Source!AE154*Source!I154, 0)</f>
        <v>5</v>
      </c>
      <c r="I452" s="31"/>
      <c r="J452" s="31">
        <f>IF(Source!BS154&lt;&gt; 0, Source!BS154, 1)</f>
        <v>20.88</v>
      </c>
      <c r="K452" s="33">
        <f>Source!R154</f>
        <v>95</v>
      </c>
      <c r="L452" s="34"/>
      <c r="R452">
        <f>H452</f>
        <v>5</v>
      </c>
    </row>
    <row r="453" spans="1:26" ht="14.4">
      <c r="A453" s="27"/>
      <c r="B453" s="28"/>
      <c r="C453" s="25" t="s">
        <v>969</v>
      </c>
      <c r="D453" s="30"/>
      <c r="E453" s="10"/>
      <c r="F453" s="32">
        <f>Source!AL154</f>
        <v>240.73</v>
      </c>
      <c r="G453" s="31" t="str">
        <f>Source!DD154</f>
        <v>*4</v>
      </c>
      <c r="H453" s="33">
        <f>ROUND(Source!AC154*Source!I154, 0)</f>
        <v>346</v>
      </c>
      <c r="I453" s="31"/>
      <c r="J453" s="31">
        <f>IF(Source!BC154&lt;&gt; 0, Source!BC154, 1)</f>
        <v>7.74</v>
      </c>
      <c r="K453" s="33">
        <f>Source!P154</f>
        <v>2676</v>
      </c>
      <c r="L453" s="34"/>
    </row>
    <row r="454" spans="1:26" ht="14.4">
      <c r="A454" s="27"/>
      <c r="B454" s="28"/>
      <c r="C454" s="25" t="s">
        <v>964</v>
      </c>
      <c r="D454" s="30" t="s">
        <v>965</v>
      </c>
      <c r="E454" s="10">
        <f>Source!BZ154</f>
        <v>123</v>
      </c>
      <c r="F454" s="92" t="str">
        <f>CONCATENATE(" )", Source!DL154, Source!FT154, "=", Source!FX154)</f>
        <v xml:space="preserve"> )*0,9*0,7=77,49</v>
      </c>
      <c r="G454" s="90"/>
      <c r="H454" s="33">
        <f>SUM(S448:S456)</f>
        <v>9</v>
      </c>
      <c r="I454" s="35"/>
      <c r="J454" s="25">
        <f>Source!AT154</f>
        <v>77</v>
      </c>
      <c r="K454" s="33">
        <f>SUM(T448:T456)</f>
        <v>172</v>
      </c>
      <c r="L454" s="34"/>
    </row>
    <row r="455" spans="1:26" ht="14.4">
      <c r="A455" s="27"/>
      <c r="B455" s="28"/>
      <c r="C455" s="25" t="s">
        <v>966</v>
      </c>
      <c r="D455" s="30" t="s">
        <v>965</v>
      </c>
      <c r="E455" s="10">
        <f>Source!CA154</f>
        <v>75</v>
      </c>
      <c r="F455" s="92" t="str">
        <f>CONCATENATE(" )", Source!DM154, Source!FU154, "=", Source!FY154)</f>
        <v xml:space="preserve"> )*0,85*0,9=57,375</v>
      </c>
      <c r="G455" s="90"/>
      <c r="H455" s="33">
        <f>SUM(U448:U456)</f>
        <v>6</v>
      </c>
      <c r="I455" s="35"/>
      <c r="J455" s="25">
        <f>Source!AU154</f>
        <v>57</v>
      </c>
      <c r="K455" s="33">
        <f>SUM(V448:V456)</f>
        <v>127</v>
      </c>
      <c r="L455" s="34"/>
    </row>
    <row r="456" spans="1:26" ht="14.4">
      <c r="A456" s="39"/>
      <c r="B456" s="40"/>
      <c r="C456" s="41" t="s">
        <v>967</v>
      </c>
      <c r="D456" s="42" t="s">
        <v>968</v>
      </c>
      <c r="E456" s="43">
        <f>Source!AQ154</f>
        <v>0.5</v>
      </c>
      <c r="F456" s="44"/>
      <c r="G456" s="45" t="str">
        <f>Source!DI154</f>
        <v>)*1,15*4</v>
      </c>
      <c r="H456" s="46"/>
      <c r="I456" s="45"/>
      <c r="J456" s="45"/>
      <c r="K456" s="46"/>
      <c r="L456" s="47">
        <f>Source!U154</f>
        <v>0.82569999999999988</v>
      </c>
    </row>
    <row r="457" spans="1:26" ht="13.8">
      <c r="G457" s="93">
        <f>ROUND(Source!AC154*Source!I154, 0)+ROUND(Source!AF154*Source!I154, 0)+ROUND(Source!AD154*Source!I154, 0)+SUM(H454:H455)</f>
        <v>382</v>
      </c>
      <c r="H457" s="93"/>
      <c r="J457" s="93">
        <f>Source!O154+SUM(K454:K455)</f>
        <v>3240</v>
      </c>
      <c r="K457" s="93"/>
      <c r="L457" s="38">
        <f>Source!U154</f>
        <v>0.82569999999999988</v>
      </c>
      <c r="O457" s="37">
        <f>G457</f>
        <v>382</v>
      </c>
      <c r="P457" s="37">
        <f>J457</f>
        <v>3240</v>
      </c>
      <c r="Q457" s="48">
        <f>L457</f>
        <v>0.82569999999999988</v>
      </c>
      <c r="W457">
        <f>IF(Source!BI154&lt;=1,G457, 0)</f>
        <v>382</v>
      </c>
      <c r="X457">
        <f>IF(Source!BI154=2,G457, 0)</f>
        <v>0</v>
      </c>
      <c r="Y457">
        <f>IF(Source!BI154=3,G457, 0)</f>
        <v>0</v>
      </c>
      <c r="Z457">
        <f>IF(Source!BI154=4,G457, 0)</f>
        <v>0</v>
      </c>
    </row>
    <row r="458" spans="1:26" ht="43.2">
      <c r="A458" s="27" t="str">
        <f>Source!E155</f>
        <v>54</v>
      </c>
      <c r="B458" s="28" t="str">
        <f>Source!F155</f>
        <v>11-01-047-1</v>
      </c>
      <c r="C458" s="25" t="str">
        <f>Source!G155</f>
        <v>Устройство покрытий из плит керамогранитных размером 40х40 см</v>
      </c>
      <c r="D458" s="30" t="str">
        <f>Source!H155</f>
        <v>100 м2 покрытия</v>
      </c>
      <c r="E458" s="10">
        <f>Source!I155</f>
        <v>0.35899999999999999</v>
      </c>
      <c r="F458" s="32">
        <f>IF(Source!AK155&lt;&gt; 0, Source!AK155,Source!AL155 + Source!AM155 + Source!AO155)</f>
        <v>21676.95</v>
      </c>
      <c r="G458" s="31"/>
      <c r="H458" s="33"/>
      <c r="I458" s="31" t="str">
        <f>Source!BO155</f>
        <v>11-01-047-1</v>
      </c>
      <c r="J458" s="31"/>
      <c r="K458" s="33"/>
      <c r="L458" s="34"/>
      <c r="S458">
        <f>ROUND((Source!FX155/100)*((ROUND(Source!AF155*Source!I155, 0)+ROUND(Source!AE155*Source!I155, 0))), 0)</f>
        <v>817</v>
      </c>
      <c r="T458">
        <f>Source!X155</f>
        <v>16946</v>
      </c>
      <c r="U458">
        <f>ROUND((Source!FY155/100)*((ROUND(Source!AF155*Source!I155, 0)+ROUND(Source!AE155*Source!I155, 0))), 0)</f>
        <v>605</v>
      </c>
      <c r="V458">
        <f>Source!Y155</f>
        <v>12545</v>
      </c>
    </row>
    <row r="459" spans="1:26">
      <c r="C459" s="49" t="str">
        <f>"Объем: "&amp;Source!I155&amp;"=35,9/"&amp;"100"</f>
        <v>Объем: 0,359=35,9/100</v>
      </c>
    </row>
    <row r="460" spans="1:26" ht="14.4">
      <c r="A460" s="27"/>
      <c r="B460" s="28"/>
      <c r="C460" s="25" t="s">
        <v>962</v>
      </c>
      <c r="D460" s="30"/>
      <c r="E460" s="10"/>
      <c r="F460" s="32">
        <f>Source!AO155</f>
        <v>2536.13</v>
      </c>
      <c r="G460" s="31" t="str">
        <f>Source!DG155</f>
        <v>)*1,15</v>
      </c>
      <c r="H460" s="33">
        <f>ROUND(Source!AF155*Source!I155, 0)</f>
        <v>1047</v>
      </c>
      <c r="I460" s="31"/>
      <c r="J460" s="31">
        <f>IF(Source!BA155&lt;&gt; 0, Source!BA155, 1)</f>
        <v>20.88</v>
      </c>
      <c r="K460" s="33">
        <f>Source!S155</f>
        <v>21862</v>
      </c>
      <c r="L460" s="34"/>
      <c r="R460">
        <f>H460</f>
        <v>1047</v>
      </c>
    </row>
    <row r="461" spans="1:26" ht="14.4">
      <c r="A461" s="27"/>
      <c r="B461" s="28"/>
      <c r="C461" s="25" t="s">
        <v>125</v>
      </c>
      <c r="D461" s="30"/>
      <c r="E461" s="10"/>
      <c r="F461" s="32">
        <f>Source!AM155</f>
        <v>23.65</v>
      </c>
      <c r="G461" s="31" t="str">
        <f>Source!DE155</f>
        <v>)*1,25</v>
      </c>
      <c r="H461" s="33">
        <f>ROUND(Source!AD155*Source!I155, 0)</f>
        <v>11</v>
      </c>
      <c r="I461" s="31"/>
      <c r="J461" s="31">
        <f>IF(Source!BB155&lt;&gt; 0, Source!BB155, 1)</f>
        <v>16.059999999999999</v>
      </c>
      <c r="K461" s="33">
        <f>Source!Q155</f>
        <v>170</v>
      </c>
      <c r="L461" s="34"/>
    </row>
    <row r="462" spans="1:26" ht="14.4">
      <c r="A462" s="27"/>
      <c r="B462" s="28"/>
      <c r="C462" s="25" t="s">
        <v>963</v>
      </c>
      <c r="D462" s="30"/>
      <c r="E462" s="10"/>
      <c r="F462" s="32">
        <f>Source!AN155</f>
        <v>15.55</v>
      </c>
      <c r="G462" s="31" t="str">
        <f>Source!DF155</f>
        <v>)*1,25</v>
      </c>
      <c r="H462" s="33">
        <f>ROUND(Source!AE155*Source!I155, 0)</f>
        <v>7</v>
      </c>
      <c r="I462" s="31"/>
      <c r="J462" s="31">
        <f>IF(Source!BS155&lt;&gt; 0, Source!BS155, 1)</f>
        <v>20.88</v>
      </c>
      <c r="K462" s="33">
        <f>Source!R155</f>
        <v>146</v>
      </c>
      <c r="L462" s="34"/>
      <c r="R462">
        <f>H462</f>
        <v>7</v>
      </c>
    </row>
    <row r="463" spans="1:26" ht="14.4">
      <c r="A463" s="27"/>
      <c r="B463" s="28"/>
      <c r="C463" s="25" t="s">
        <v>969</v>
      </c>
      <c r="D463" s="30"/>
      <c r="E463" s="10"/>
      <c r="F463" s="32">
        <f>Source!AL155</f>
        <v>19117.169999999998</v>
      </c>
      <c r="G463" s="31" t="str">
        <f>Source!DD155</f>
        <v/>
      </c>
      <c r="H463" s="33">
        <f>ROUND(Source!AC155*Source!I155, 0)</f>
        <v>6863</v>
      </c>
      <c r="I463" s="31"/>
      <c r="J463" s="31">
        <f>IF(Source!BC155&lt;&gt; 0, Source!BC155, 1)</f>
        <v>3.22</v>
      </c>
      <c r="K463" s="33">
        <f>Source!P155</f>
        <v>22099</v>
      </c>
      <c r="L463" s="34"/>
    </row>
    <row r="464" spans="1:26" ht="14.4">
      <c r="A464" s="27"/>
      <c r="B464" s="28"/>
      <c r="C464" s="25" t="s">
        <v>964</v>
      </c>
      <c r="D464" s="30" t="s">
        <v>965</v>
      </c>
      <c r="E464" s="10">
        <f>Source!BZ155</f>
        <v>123</v>
      </c>
      <c r="F464" s="92" t="str">
        <f>CONCATENATE(" )", Source!DL155, Source!FT155, "=", Source!FX155)</f>
        <v xml:space="preserve"> )*0,9*0,7=77,49</v>
      </c>
      <c r="G464" s="90"/>
      <c r="H464" s="33">
        <f>SUM(S458:S466)</f>
        <v>817</v>
      </c>
      <c r="I464" s="35"/>
      <c r="J464" s="25">
        <f>Source!AT155</f>
        <v>77</v>
      </c>
      <c r="K464" s="33">
        <f>SUM(T458:T466)</f>
        <v>16946</v>
      </c>
      <c r="L464" s="34"/>
    </row>
    <row r="465" spans="1:28" ht="14.4">
      <c r="A465" s="27"/>
      <c r="B465" s="28"/>
      <c r="C465" s="25" t="s">
        <v>966</v>
      </c>
      <c r="D465" s="30" t="s">
        <v>965</v>
      </c>
      <c r="E465" s="10">
        <f>Source!CA155</f>
        <v>75</v>
      </c>
      <c r="F465" s="92" t="str">
        <f>CONCATENATE(" )", Source!DM155, Source!FU155, "=", Source!FY155)</f>
        <v xml:space="preserve"> )*0,85*0,9=57,375</v>
      </c>
      <c r="G465" s="90"/>
      <c r="H465" s="33">
        <f>SUM(U458:U466)</f>
        <v>605</v>
      </c>
      <c r="I465" s="35"/>
      <c r="J465" s="25">
        <f>Source!AU155</f>
        <v>57</v>
      </c>
      <c r="K465" s="33">
        <f>SUM(V458:V466)</f>
        <v>12545</v>
      </c>
      <c r="L465" s="34"/>
    </row>
    <row r="466" spans="1:28" ht="14.4">
      <c r="A466" s="39"/>
      <c r="B466" s="40"/>
      <c r="C466" s="41" t="s">
        <v>967</v>
      </c>
      <c r="D466" s="42" t="s">
        <v>968</v>
      </c>
      <c r="E466" s="43">
        <f>Source!AQ155</f>
        <v>310.42</v>
      </c>
      <c r="F466" s="44"/>
      <c r="G466" s="45" t="str">
        <f>Source!DI155</f>
        <v>)*1,15</v>
      </c>
      <c r="H466" s="46"/>
      <c r="I466" s="45"/>
      <c r="J466" s="45"/>
      <c r="K466" s="46"/>
      <c r="L466" s="47">
        <f>Source!U155</f>
        <v>128.15689699999999</v>
      </c>
    </row>
    <row r="467" spans="1:28" ht="13.8">
      <c r="G467" s="93">
        <f>ROUND(Source!AC155*Source!I155, 0)+ROUND(Source!AF155*Source!I155, 0)+ROUND(Source!AD155*Source!I155, 0)+SUM(H464:H465)</f>
        <v>9343</v>
      </c>
      <c r="H467" s="93"/>
      <c r="J467" s="93">
        <f>Source!O155+SUM(K464:K465)</f>
        <v>73622</v>
      </c>
      <c r="K467" s="93"/>
      <c r="L467" s="38">
        <f>Source!U155</f>
        <v>128.15689699999999</v>
      </c>
      <c r="O467" s="37">
        <f>G467</f>
        <v>9343</v>
      </c>
      <c r="P467" s="37">
        <f>J467</f>
        <v>73622</v>
      </c>
      <c r="Q467" s="48">
        <f>L467</f>
        <v>128.15689699999999</v>
      </c>
      <c r="W467">
        <f>IF(Source!BI155&lt;=1,G467, 0)</f>
        <v>9343</v>
      </c>
      <c r="X467">
        <f>IF(Source!BI155=2,G467, 0)</f>
        <v>0</v>
      </c>
      <c r="Y467">
        <f>IF(Source!BI155=3,G467, 0)</f>
        <v>0</v>
      </c>
      <c r="Z467">
        <f>IF(Source!BI155=4,G467, 0)</f>
        <v>0</v>
      </c>
    </row>
    <row r="468" spans="1:28" ht="28.2">
      <c r="A468" s="27" t="str">
        <f>Source!E156</f>
        <v>55</v>
      </c>
      <c r="B468" s="28" t="str">
        <f>Source!F156</f>
        <v>101-6968</v>
      </c>
      <c r="C468" s="25" t="str">
        <f>Source!G156</f>
        <v>Состав грунтовочный ЛАЭС "Грунтовка глубокого проникновения"</v>
      </c>
      <c r="D468" s="30" t="str">
        <f>Source!H156</f>
        <v>кг</v>
      </c>
      <c r="E468" s="10">
        <f>Source!I156</f>
        <v>4.67</v>
      </c>
      <c r="F468" s="32">
        <f>IF(Source!AK156&lt;&gt; 0, Source!AK156,Source!AL156 + Source!AM156 + Source!AO156)</f>
        <v>22.1</v>
      </c>
      <c r="G468" s="31"/>
      <c r="H468" s="33"/>
      <c r="I468" s="31" t="str">
        <f>Source!BO156</f>
        <v>101-6968</v>
      </c>
      <c r="J468" s="31"/>
      <c r="K468" s="33"/>
      <c r="L468" s="34"/>
      <c r="S468">
        <f>ROUND((Source!FX156/100)*((ROUND(Source!AF156*Source!I156, 0)+ROUND(Source!AE156*Source!I156, 0))), 0)</f>
        <v>0</v>
      </c>
      <c r="T468">
        <f>Source!X156</f>
        <v>0</v>
      </c>
      <c r="U468">
        <f>ROUND((Source!FY156/100)*((ROUND(Source!AF156*Source!I156, 0)+ROUND(Source!AE156*Source!I156, 0))), 0)</f>
        <v>0</v>
      </c>
      <c r="V468">
        <f>Source!Y156</f>
        <v>0</v>
      </c>
    </row>
    <row r="469" spans="1:28" ht="14.4">
      <c r="A469" s="39"/>
      <c r="B469" s="40"/>
      <c r="C469" s="41" t="s">
        <v>969</v>
      </c>
      <c r="D469" s="42"/>
      <c r="E469" s="43"/>
      <c r="F469" s="44">
        <f>Source!AL156</f>
        <v>22.1</v>
      </c>
      <c r="G469" s="45" t="str">
        <f>Source!DD156</f>
        <v/>
      </c>
      <c r="H469" s="46">
        <f>ROUND(Source!AC156*Source!I156, 0)</f>
        <v>103</v>
      </c>
      <c r="I469" s="45"/>
      <c r="J469" s="45">
        <f>IF(Source!BC156&lt;&gt; 0, Source!BC156, 1)</f>
        <v>4.21</v>
      </c>
      <c r="K469" s="46">
        <f>Source!P156</f>
        <v>435</v>
      </c>
      <c r="L469" s="52"/>
    </row>
    <row r="470" spans="1:28" ht="13.8">
      <c r="G470" s="93">
        <f>ROUND(Source!AC156*Source!I156, 0)+ROUND(Source!AF156*Source!I156, 0)+ROUND(Source!AD156*Source!I156, 0)</f>
        <v>103</v>
      </c>
      <c r="H470" s="93"/>
      <c r="J470" s="93">
        <f>Source!O156</f>
        <v>435</v>
      </c>
      <c r="K470" s="93"/>
      <c r="L470" s="38">
        <f>Source!U156</f>
        <v>0</v>
      </c>
      <c r="O470" s="37">
        <f>G470</f>
        <v>103</v>
      </c>
      <c r="P470" s="37">
        <f>J470</f>
        <v>435</v>
      </c>
      <c r="Q470" s="48">
        <f>L470</f>
        <v>0</v>
      </c>
      <c r="W470">
        <f>IF(Source!BI156&lt;=1,G470, 0)</f>
        <v>103</v>
      </c>
      <c r="X470">
        <f>IF(Source!BI156=2,G470, 0)</f>
        <v>0</v>
      </c>
      <c r="Y470">
        <f>IF(Source!BI156=3,G470, 0)</f>
        <v>0</v>
      </c>
      <c r="Z470">
        <f>IF(Source!BI156=4,G470, 0)</f>
        <v>0</v>
      </c>
    </row>
    <row r="471" spans="1:28" ht="83.4">
      <c r="A471" s="27" t="str">
        <f>Source!E157</f>
        <v>56</v>
      </c>
      <c r="B471" s="28" t="str">
        <f>Source!F157</f>
        <v>15-01-019-5</v>
      </c>
      <c r="C471" s="25" t="str">
        <f>Source!G157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 (САПОЖКИ)</v>
      </c>
      <c r="D471" s="30" t="str">
        <f>Source!H157</f>
        <v>100 М2 ПОВЕРХНОСТИ ОБЛИЦОВКИ</v>
      </c>
      <c r="E471" s="10">
        <f>Source!I157</f>
        <v>3.2000000000000001E-2</v>
      </c>
      <c r="F471" s="32">
        <f>IF(Source!AK157&lt;&gt; 0, Source!AK157,Source!AL157 + Source!AM157 + Source!AO157)</f>
        <v>10508.87</v>
      </c>
      <c r="G471" s="31"/>
      <c r="H471" s="33"/>
      <c r="I471" s="31" t="str">
        <f>Source!BO157</f>
        <v>15-01-019-5</v>
      </c>
      <c r="J471" s="31"/>
      <c r="K471" s="33"/>
      <c r="L471" s="34"/>
      <c r="S471">
        <f>ROUND((Source!FX157/100)*((ROUND(Source!AF157*Source!I157, 0)+ROUND(Source!AE157*Source!I157, 0))), 0)</f>
        <v>34</v>
      </c>
      <c r="T471">
        <f>Source!X157</f>
        <v>704</v>
      </c>
      <c r="U471">
        <f>ROUND((Source!FY157/100)*((ROUND(Source!AF157*Source!I157, 0)+ROUND(Source!AE157*Source!I157, 0))), 0)</f>
        <v>21</v>
      </c>
      <c r="V471">
        <f>Source!Y157</f>
        <v>448</v>
      </c>
    </row>
    <row r="472" spans="1:28">
      <c r="C472" s="49" t="str">
        <f>"Объем: "&amp;Source!I157&amp;"=3,2/"&amp;"100"</f>
        <v>Объем: 0,032=3,2/100</v>
      </c>
    </row>
    <row r="473" spans="1:28" ht="14.4">
      <c r="A473" s="27"/>
      <c r="B473" s="28"/>
      <c r="C473" s="25" t="s">
        <v>962</v>
      </c>
      <c r="D473" s="30"/>
      <c r="E473" s="10"/>
      <c r="F473" s="32">
        <f>Source!AO157</f>
        <v>1369.97</v>
      </c>
      <c r="G473" s="31" t="str">
        <f>Source!DG157</f>
        <v>)*1,15</v>
      </c>
      <c r="H473" s="33">
        <f>ROUND(Source!AF157*Source!I157, 0)</f>
        <v>50</v>
      </c>
      <c r="I473" s="31"/>
      <c r="J473" s="31">
        <f>IF(Source!BA157&lt;&gt; 0, Source!BA157, 1)</f>
        <v>20.88</v>
      </c>
      <c r="K473" s="33">
        <f>Source!S157</f>
        <v>1053</v>
      </c>
      <c r="L473" s="34"/>
      <c r="R473">
        <f>H473</f>
        <v>50</v>
      </c>
    </row>
    <row r="474" spans="1:28" ht="14.4">
      <c r="A474" s="27"/>
      <c r="B474" s="28"/>
      <c r="C474" s="25" t="s">
        <v>125</v>
      </c>
      <c r="D474" s="30"/>
      <c r="E474" s="10"/>
      <c r="F474" s="32">
        <f>Source!AM157</f>
        <v>30.36</v>
      </c>
      <c r="G474" s="31" t="str">
        <f>Source!DE157</f>
        <v>)*1,25</v>
      </c>
      <c r="H474" s="33">
        <f>ROUND(Source!AD157*Source!I157, 0)</f>
        <v>1</v>
      </c>
      <c r="I474" s="31"/>
      <c r="J474" s="31">
        <f>IF(Source!BB157&lt;&gt; 0, Source!BB157, 1)</f>
        <v>13.63</v>
      </c>
      <c r="K474" s="33">
        <f>Source!Q157</f>
        <v>17</v>
      </c>
      <c r="L474" s="34"/>
    </row>
    <row r="475" spans="1:28" ht="14.4">
      <c r="A475" s="27"/>
      <c r="B475" s="28"/>
      <c r="C475" s="25" t="s">
        <v>963</v>
      </c>
      <c r="D475" s="30"/>
      <c r="E475" s="10"/>
      <c r="F475" s="32">
        <f>Source!AN157</f>
        <v>15.69</v>
      </c>
      <c r="G475" s="31" t="str">
        <f>Source!DF157</f>
        <v>)*1,25</v>
      </c>
      <c r="H475" s="33">
        <f>ROUND(Source!AE157*Source!I157, 0)</f>
        <v>1</v>
      </c>
      <c r="I475" s="31"/>
      <c r="J475" s="31">
        <f>IF(Source!BS157&lt;&gt; 0, Source!BS157, 1)</f>
        <v>20.88</v>
      </c>
      <c r="K475" s="33">
        <f>Source!R157</f>
        <v>13</v>
      </c>
      <c r="L475" s="34"/>
      <c r="R475">
        <f>H475</f>
        <v>1</v>
      </c>
    </row>
    <row r="476" spans="1:28" ht="14.4">
      <c r="A476" s="27"/>
      <c r="B476" s="28"/>
      <c r="C476" s="25" t="s">
        <v>969</v>
      </c>
      <c r="D476" s="30"/>
      <c r="E476" s="10"/>
      <c r="F476" s="32">
        <f>Source!AL157</f>
        <v>9108.5400000000009</v>
      </c>
      <c r="G476" s="31" t="str">
        <f>Source!DD157</f>
        <v/>
      </c>
      <c r="H476" s="33">
        <f>ROUND(Source!AC157*Source!I157, 0)</f>
        <v>291</v>
      </c>
      <c r="I476" s="31"/>
      <c r="J476" s="31">
        <f>IF(Source!BC157&lt;&gt; 0, Source!BC157, 1)</f>
        <v>3.59</v>
      </c>
      <c r="K476" s="33">
        <f>Source!P157</f>
        <v>1046</v>
      </c>
      <c r="L476" s="34"/>
    </row>
    <row r="477" spans="1:28" ht="14.4">
      <c r="A477" s="27"/>
      <c r="B477" s="28"/>
      <c r="C477" s="25" t="s">
        <v>964</v>
      </c>
      <c r="D477" s="30" t="s">
        <v>965</v>
      </c>
      <c r="E477" s="10">
        <f>Source!BZ157</f>
        <v>105</v>
      </c>
      <c r="F477" s="92" t="str">
        <f>CONCATENATE(" )", Source!DL157, Source!FT157, "=", Source!FX157)</f>
        <v xml:space="preserve"> )*0,9*0,7=66,15</v>
      </c>
      <c r="G477" s="90"/>
      <c r="H477" s="33">
        <f>SUM(S471:S480)</f>
        <v>34</v>
      </c>
      <c r="I477" s="35"/>
      <c r="J477" s="25">
        <f>Source!AT157</f>
        <v>66</v>
      </c>
      <c r="K477" s="33">
        <f>SUM(T471:T480)</f>
        <v>704</v>
      </c>
      <c r="L477" s="34"/>
    </row>
    <row r="478" spans="1:28" ht="14.4">
      <c r="A478" s="27"/>
      <c r="B478" s="28"/>
      <c r="C478" s="25" t="s">
        <v>966</v>
      </c>
      <c r="D478" s="30" t="s">
        <v>965</v>
      </c>
      <c r="E478" s="10">
        <f>Source!CA157</f>
        <v>55</v>
      </c>
      <c r="F478" s="92" t="str">
        <f>CONCATENATE(" )", Source!DM157, Source!FU157, "=", Source!FY157)</f>
        <v xml:space="preserve"> )*0,85*0,9=42,075</v>
      </c>
      <c r="G478" s="90"/>
      <c r="H478" s="33">
        <f>SUM(U471:U480)</f>
        <v>21</v>
      </c>
      <c r="I478" s="35"/>
      <c r="J478" s="25">
        <f>Source!AU157</f>
        <v>42</v>
      </c>
      <c r="K478" s="33">
        <f>SUM(V471:V480)</f>
        <v>448</v>
      </c>
      <c r="L478" s="34"/>
    </row>
    <row r="479" spans="1:28" ht="14.4">
      <c r="A479" s="27"/>
      <c r="B479" s="28"/>
      <c r="C479" s="25" t="s">
        <v>967</v>
      </c>
      <c r="D479" s="30" t="s">
        <v>968</v>
      </c>
      <c r="E479" s="10">
        <f>Source!AQ157</f>
        <v>159.66999999999999</v>
      </c>
      <c r="F479" s="32"/>
      <c r="G479" s="31" t="str">
        <f>Source!DI157</f>
        <v>)*1,15</v>
      </c>
      <c r="H479" s="33"/>
      <c r="I479" s="31"/>
      <c r="J479" s="31"/>
      <c r="K479" s="33"/>
      <c r="L479" s="36">
        <f>Source!U157</f>
        <v>5.8758559999999989</v>
      </c>
    </row>
    <row r="480" spans="1:28" ht="43.2">
      <c r="A480" s="53" t="str">
        <f>Source!E158</f>
        <v>56,1</v>
      </c>
      <c r="B480" s="53" t="str">
        <f>Source!F158</f>
        <v>101-0256</v>
      </c>
      <c r="C480" s="53" t="str">
        <f>Source!G158</f>
        <v>Плитки керамические глазурованные для внутренней облицовки стен гладкие без завала белые</v>
      </c>
      <c r="D480" s="54" t="str">
        <f>Source!H158</f>
        <v>м2</v>
      </c>
      <c r="E480" s="55">
        <f>Source!I158</f>
        <v>-3.2</v>
      </c>
      <c r="F480" s="56">
        <f>Source!AK158</f>
        <v>68</v>
      </c>
      <c r="G480" s="57" t="s">
        <v>3</v>
      </c>
      <c r="H480" s="58">
        <f>ROUND(Source!AC158*Source!I158, 0)+ROUND(Source!AD158*Source!I158, 0)+ROUND(Source!AF158*Source!I158, 0)</f>
        <v>-218</v>
      </c>
      <c r="I480" s="54"/>
      <c r="J480" s="54">
        <f>IF(Source!BC158&lt;&gt; 0, Source!BC158, 1)</f>
        <v>3.78</v>
      </c>
      <c r="K480" s="58">
        <f>Source!O158</f>
        <v>-823</v>
      </c>
      <c r="L480" s="56"/>
      <c r="S480">
        <f>ROUND((Source!FX158/100)*((ROUND(Source!AF158*Source!I158, 0)+ROUND(Source!AE158*Source!I158, 0))), 0)</f>
        <v>0</v>
      </c>
      <c r="T480">
        <f>Source!X158</f>
        <v>0</v>
      </c>
      <c r="U480">
        <f>ROUND((Source!FY158/100)*((ROUND(Source!AF158*Source!I158, 0)+ROUND(Source!AE158*Source!I158, 0))), 0)</f>
        <v>0</v>
      </c>
      <c r="V480">
        <f>Source!Y158</f>
        <v>0</v>
      </c>
      <c r="Y480">
        <f>IF(Source!BI158=3,H480, 0)</f>
        <v>0</v>
      </c>
      <c r="AA480">
        <f>ROUND(Source!AC158*Source!I158, 0)+ROUND(Source!AD158*Source!I158, 0)+ROUND(Source!AF158*Source!I158, 0)</f>
        <v>-218</v>
      </c>
      <c r="AB480">
        <f>Source!O158</f>
        <v>-823</v>
      </c>
    </row>
    <row r="481" spans="1:26" ht="13.8">
      <c r="G481" s="93">
        <f>ROUND(Source!AC157*Source!I157, 0)+ROUND(Source!AF157*Source!I157, 0)+ROUND(Source!AD157*Source!I157, 0)+SUM(H477:H478)+SUM(AA480:AA480)</f>
        <v>179</v>
      </c>
      <c r="H481" s="93"/>
      <c r="J481" s="93">
        <f>Source!O157+SUM(K477:K478)+SUM(AB480:AB480)</f>
        <v>2445</v>
      </c>
      <c r="K481" s="93"/>
      <c r="L481" s="38">
        <f>Source!U157</f>
        <v>5.8758559999999989</v>
      </c>
      <c r="O481" s="37">
        <f>G481</f>
        <v>179</v>
      </c>
      <c r="P481" s="37">
        <f>J481</f>
        <v>2445</v>
      </c>
      <c r="Q481" s="48">
        <f>L481</f>
        <v>5.8758559999999989</v>
      </c>
      <c r="W481">
        <f>IF(Source!BI157&lt;=1,G481, 0)</f>
        <v>179</v>
      </c>
      <c r="X481">
        <f>IF(Source!BI157=2,G481, 0)</f>
        <v>0</v>
      </c>
      <c r="Y481">
        <f>IF(Source!BI157=3,G481, 0)</f>
        <v>0</v>
      </c>
      <c r="Z481">
        <f>IF(Source!BI157=4,G481, 0)</f>
        <v>0</v>
      </c>
    </row>
    <row r="482" spans="1:26" ht="28.2">
      <c r="A482" s="27" t="str">
        <f>Source!E159</f>
        <v>57</v>
      </c>
      <c r="B482" s="28" t="str">
        <f>Source!F159</f>
        <v>101-5584</v>
      </c>
      <c r="C482" s="25" t="str">
        <f>Source!G159</f>
        <v>Плитки керамогранитные размером 400х400х9 мм, светло-серые</v>
      </c>
      <c r="D482" s="30" t="str">
        <f>Source!H159</f>
        <v>м2</v>
      </c>
      <c r="E482" s="10">
        <f>Source!I159</f>
        <v>3.2</v>
      </c>
      <c r="F482" s="32">
        <f>IF(Source!AK159&lt;&gt; 0, Source!AK159,Source!AL159 + Source!AM159 + Source!AO159)</f>
        <v>66.73</v>
      </c>
      <c r="G482" s="31"/>
      <c r="H482" s="33"/>
      <c r="I482" s="31" t="str">
        <f>Source!BO159</f>
        <v>101-5584</v>
      </c>
      <c r="J482" s="31"/>
      <c r="K482" s="33"/>
      <c r="L482" s="34"/>
      <c r="S482">
        <f>ROUND((Source!FX159/100)*((ROUND(Source!AF159*Source!I159, 0)+ROUND(Source!AE159*Source!I159, 0))), 0)</f>
        <v>0</v>
      </c>
      <c r="T482">
        <f>Source!X159</f>
        <v>0</v>
      </c>
      <c r="U482">
        <f>ROUND((Source!FY159/100)*((ROUND(Source!AF159*Source!I159, 0)+ROUND(Source!AE159*Source!I159, 0))), 0)</f>
        <v>0</v>
      </c>
      <c r="V482">
        <f>Source!Y159</f>
        <v>0</v>
      </c>
    </row>
    <row r="483" spans="1:26" ht="14.4">
      <c r="A483" s="39"/>
      <c r="B483" s="40"/>
      <c r="C483" s="41" t="s">
        <v>969</v>
      </c>
      <c r="D483" s="42"/>
      <c r="E483" s="43"/>
      <c r="F483" s="44">
        <f>Source!AL159</f>
        <v>66.73</v>
      </c>
      <c r="G483" s="45" t="str">
        <f>Source!DD159</f>
        <v/>
      </c>
      <c r="H483" s="46">
        <f>ROUND(Source!AC159*Source!I159, 0)</f>
        <v>214</v>
      </c>
      <c r="I483" s="45"/>
      <c r="J483" s="45">
        <f>IF(Source!BC159&lt;&gt; 0, Source!BC159, 1)</f>
        <v>4.8600000000000003</v>
      </c>
      <c r="K483" s="46">
        <f>Source!P159</f>
        <v>1038</v>
      </c>
      <c r="L483" s="52"/>
    </row>
    <row r="484" spans="1:26" ht="13.8">
      <c r="G484" s="93">
        <f>ROUND(Source!AC159*Source!I159, 0)+ROUND(Source!AF159*Source!I159, 0)+ROUND(Source!AD159*Source!I159, 0)</f>
        <v>214</v>
      </c>
      <c r="H484" s="93"/>
      <c r="J484" s="93">
        <f>Source!O159</f>
        <v>1038</v>
      </c>
      <c r="K484" s="93"/>
      <c r="L484" s="38">
        <f>Source!U159</f>
        <v>0</v>
      </c>
      <c r="O484" s="37">
        <f>G484</f>
        <v>214</v>
      </c>
      <c r="P484" s="37">
        <f>J484</f>
        <v>1038</v>
      </c>
      <c r="Q484" s="48">
        <f>L484</f>
        <v>0</v>
      </c>
      <c r="W484">
        <f>IF(Source!BI159&lt;=1,G484, 0)</f>
        <v>214</v>
      </c>
      <c r="X484">
        <f>IF(Source!BI159=2,G484, 0)</f>
        <v>0</v>
      </c>
      <c r="Y484">
        <f>IF(Source!BI159=3,G484, 0)</f>
        <v>0</v>
      </c>
      <c r="Z484">
        <f>IF(Source!BI159=4,G484, 0)</f>
        <v>0</v>
      </c>
    </row>
    <row r="485" spans="1:26" ht="86.4">
      <c r="A485" s="27" t="str">
        <f>Source!E160</f>
        <v>58</v>
      </c>
      <c r="B485" s="28" t="str">
        <f>Source!F160</f>
        <v>15-02-031-1</v>
      </c>
      <c r="C485" s="25" t="str">
        <f>Source!G160</f>
        <v>Штукатурка поверхностей оконных и дверных откосов по бетону и камню плоских</v>
      </c>
      <c r="D485" s="30" t="str">
        <f>Source!H160</f>
        <v>100 м2 оштукатуриваемой поверхности</v>
      </c>
      <c r="E485" s="10">
        <f>Source!I160</f>
        <v>2.8400000000000002E-2</v>
      </c>
      <c r="F485" s="32">
        <f>IF(Source!AK160&lt;&gt; 0, Source!AK160,Source!AL160 + Source!AM160 + Source!AO160)</f>
        <v>3575.75</v>
      </c>
      <c r="G485" s="31"/>
      <c r="H485" s="33"/>
      <c r="I485" s="31" t="str">
        <f>Source!BO160</f>
        <v>15-02-031-1</v>
      </c>
      <c r="J485" s="31"/>
      <c r="K485" s="33"/>
      <c r="L485" s="34"/>
      <c r="S485">
        <f>ROUND((Source!FX160/100)*((ROUND(Source!AF160*Source!I160, 0)+ROUND(Source!AE160*Source!I160, 0))), 0)</f>
        <v>39</v>
      </c>
      <c r="T485">
        <f>Source!X160</f>
        <v>809</v>
      </c>
      <c r="U485">
        <f>ROUND((Source!FY160/100)*((ROUND(Source!AF160*Source!I160, 0)+ROUND(Source!AE160*Source!I160, 0))), 0)</f>
        <v>25</v>
      </c>
      <c r="V485">
        <f>Source!Y160</f>
        <v>515</v>
      </c>
    </row>
    <row r="486" spans="1:26">
      <c r="C486" s="49" t="str">
        <f>"Объем: "&amp;Source!I160&amp;"=2,84/"&amp;"100"</f>
        <v>Объем: 0,0284=2,84/100</v>
      </c>
    </row>
    <row r="487" spans="1:26" ht="14.4">
      <c r="A487" s="27"/>
      <c r="B487" s="28"/>
      <c r="C487" s="25" t="s">
        <v>962</v>
      </c>
      <c r="D487" s="30"/>
      <c r="E487" s="10"/>
      <c r="F487" s="32">
        <f>Source!AO160</f>
        <v>1771.24</v>
      </c>
      <c r="G487" s="31" t="str">
        <f>Source!DG160</f>
        <v>)*1,15</v>
      </c>
      <c r="H487" s="33">
        <f>ROUND(Source!AF160*Source!I160, 0)</f>
        <v>58</v>
      </c>
      <c r="I487" s="31"/>
      <c r="J487" s="31">
        <f>IF(Source!BA160&lt;&gt; 0, Source!BA160, 1)</f>
        <v>20.88</v>
      </c>
      <c r="K487" s="33">
        <f>Source!S160</f>
        <v>1208</v>
      </c>
      <c r="L487" s="34"/>
      <c r="R487">
        <f>H487</f>
        <v>58</v>
      </c>
    </row>
    <row r="488" spans="1:26" ht="14.4">
      <c r="A488" s="27"/>
      <c r="B488" s="28"/>
      <c r="C488" s="25" t="s">
        <v>125</v>
      </c>
      <c r="D488" s="30"/>
      <c r="E488" s="10"/>
      <c r="F488" s="32">
        <f>Source!AM160</f>
        <v>66.11</v>
      </c>
      <c r="G488" s="31" t="str">
        <f>Source!DE160</f>
        <v>)*1,25</v>
      </c>
      <c r="H488" s="33">
        <f>ROUND(Source!AD160*Source!I160, 0)</f>
        <v>2</v>
      </c>
      <c r="I488" s="31"/>
      <c r="J488" s="31">
        <f>IF(Source!BB160&lt;&gt; 0, Source!BB160, 1)</f>
        <v>10.210000000000001</v>
      </c>
      <c r="K488" s="33">
        <f>Source!Q160</f>
        <v>24</v>
      </c>
      <c r="L488" s="34"/>
    </row>
    <row r="489" spans="1:26" ht="14.4">
      <c r="A489" s="27"/>
      <c r="B489" s="28"/>
      <c r="C489" s="25" t="s">
        <v>963</v>
      </c>
      <c r="D489" s="30"/>
      <c r="E489" s="10"/>
      <c r="F489" s="32">
        <f>Source!AN160</f>
        <v>24.93</v>
      </c>
      <c r="G489" s="31" t="str">
        <f>Source!DF160</f>
        <v>)*1,25</v>
      </c>
      <c r="H489" s="33">
        <f>ROUND(Source!AE160*Source!I160, 0)</f>
        <v>1</v>
      </c>
      <c r="I489" s="31"/>
      <c r="J489" s="31">
        <f>IF(Source!BS160&lt;&gt; 0, Source!BS160, 1)</f>
        <v>20.88</v>
      </c>
      <c r="K489" s="33">
        <f>Source!R160</f>
        <v>18</v>
      </c>
      <c r="L489" s="34"/>
      <c r="R489">
        <f>H489</f>
        <v>1</v>
      </c>
    </row>
    <row r="490" spans="1:26" ht="14.4">
      <c r="A490" s="27"/>
      <c r="B490" s="28"/>
      <c r="C490" s="25" t="s">
        <v>969</v>
      </c>
      <c r="D490" s="30"/>
      <c r="E490" s="10"/>
      <c r="F490" s="32">
        <f>Source!AL160</f>
        <v>1738.4</v>
      </c>
      <c r="G490" s="31" t="str">
        <f>Source!DD160</f>
        <v/>
      </c>
      <c r="H490" s="33">
        <f>ROUND(Source!AC160*Source!I160, 0)</f>
        <v>49</v>
      </c>
      <c r="I490" s="31"/>
      <c r="J490" s="31">
        <f>IF(Source!BC160&lt;&gt; 0, Source!BC160, 1)</f>
        <v>7.43</v>
      </c>
      <c r="K490" s="33">
        <f>Source!P160</f>
        <v>367</v>
      </c>
      <c r="L490" s="34"/>
    </row>
    <row r="491" spans="1:26" ht="14.4">
      <c r="A491" s="27"/>
      <c r="B491" s="28"/>
      <c r="C491" s="25" t="s">
        <v>964</v>
      </c>
      <c r="D491" s="30" t="s">
        <v>965</v>
      </c>
      <c r="E491" s="10">
        <f>Source!BZ160</f>
        <v>105</v>
      </c>
      <c r="F491" s="92" t="str">
        <f>CONCATENATE(" )", Source!DL160, Source!FT160, "=", Source!FX160)</f>
        <v xml:space="preserve"> )*0,9*0,7=66,15</v>
      </c>
      <c r="G491" s="90"/>
      <c r="H491" s="33">
        <f>SUM(S485:S493)</f>
        <v>39</v>
      </c>
      <c r="I491" s="35"/>
      <c r="J491" s="25">
        <f>Source!AT160</f>
        <v>66</v>
      </c>
      <c r="K491" s="33">
        <f>SUM(T485:T493)</f>
        <v>809</v>
      </c>
      <c r="L491" s="34"/>
    </row>
    <row r="492" spans="1:26" ht="14.4">
      <c r="A492" s="27"/>
      <c r="B492" s="28"/>
      <c r="C492" s="25" t="s">
        <v>966</v>
      </c>
      <c r="D492" s="30" t="s">
        <v>965</v>
      </c>
      <c r="E492" s="10">
        <f>Source!CA160</f>
        <v>55</v>
      </c>
      <c r="F492" s="92" t="str">
        <f>CONCATENATE(" )", Source!DM160, Source!FU160, "=", Source!FY160)</f>
        <v xml:space="preserve"> )*0,85*0,9=42,075</v>
      </c>
      <c r="G492" s="90"/>
      <c r="H492" s="33">
        <f>SUM(U485:U493)</f>
        <v>25</v>
      </c>
      <c r="I492" s="35"/>
      <c r="J492" s="25">
        <f>Source!AU160</f>
        <v>42</v>
      </c>
      <c r="K492" s="33">
        <f>SUM(V485:V493)</f>
        <v>515</v>
      </c>
      <c r="L492" s="34"/>
    </row>
    <row r="493" spans="1:26" ht="14.4">
      <c r="A493" s="39"/>
      <c r="B493" s="40"/>
      <c r="C493" s="41" t="s">
        <v>967</v>
      </c>
      <c r="D493" s="42" t="s">
        <v>968</v>
      </c>
      <c r="E493" s="43">
        <f>Source!AQ160</f>
        <v>204.06</v>
      </c>
      <c r="F493" s="44"/>
      <c r="G493" s="45" t="str">
        <f>Source!DI160</f>
        <v>)*1,15</v>
      </c>
      <c r="H493" s="46"/>
      <c r="I493" s="45"/>
      <c r="J493" s="45"/>
      <c r="K493" s="46"/>
      <c r="L493" s="47">
        <f>Source!U160</f>
        <v>6.6645995999999998</v>
      </c>
    </row>
    <row r="494" spans="1:26" ht="13.8">
      <c r="G494" s="93">
        <f>ROUND(Source!AC160*Source!I160, 0)+ROUND(Source!AF160*Source!I160, 0)+ROUND(Source!AD160*Source!I160, 0)+SUM(H491:H492)</f>
        <v>173</v>
      </c>
      <c r="H494" s="93"/>
      <c r="J494" s="93">
        <f>Source!O160+SUM(K491:K492)</f>
        <v>2923</v>
      </c>
      <c r="K494" s="93"/>
      <c r="L494" s="38">
        <f>Source!U160</f>
        <v>6.6645995999999998</v>
      </c>
      <c r="O494" s="37">
        <f>G494</f>
        <v>173</v>
      </c>
      <c r="P494" s="37">
        <f>J494</f>
        <v>2923</v>
      </c>
      <c r="Q494" s="48">
        <f>L494</f>
        <v>6.6645995999999998</v>
      </c>
      <c r="W494">
        <f>IF(Source!BI160&lt;=1,G494, 0)</f>
        <v>173</v>
      </c>
      <c r="X494">
        <f>IF(Source!BI160=2,G494, 0)</f>
        <v>0</v>
      </c>
      <c r="Y494">
        <f>IF(Source!BI160=3,G494, 0)</f>
        <v>0</v>
      </c>
      <c r="Z494">
        <f>IF(Source!BI160=4,G494, 0)</f>
        <v>0</v>
      </c>
    </row>
    <row r="495" spans="1:26" ht="69.599999999999994">
      <c r="A495" s="27" t="str">
        <f>Source!E161</f>
        <v>59</v>
      </c>
      <c r="B495" s="28" t="str">
        <f>Source!F161</f>
        <v>10-05-009-1</v>
      </c>
      <c r="C495" s="25" t="str">
        <f>Source!G161</f>
        <v>Облицовка стен по системе «КНАУФ» по одинарному металлическому каркасу из ПН и ПС профилей гипсокартонными листами в один слой (С 625) оконным проемом</v>
      </c>
      <c r="D495" s="30" t="str">
        <f>Source!H161</f>
        <v>100 м2 стен (за вычетом проемов)</v>
      </c>
      <c r="E495" s="10">
        <f>Source!I161</f>
        <v>1.4999999999999999E-2</v>
      </c>
      <c r="F495" s="32">
        <f>IF(Source!AK161&lt;&gt; 0, Source!AK161,Source!AL161 + Source!AM161 + Source!AO161)</f>
        <v>5852.26</v>
      </c>
      <c r="G495" s="31"/>
      <c r="H495" s="33"/>
      <c r="I495" s="31" t="str">
        <f>Source!BO161</f>
        <v>10-05-009-1</v>
      </c>
      <c r="J495" s="31"/>
      <c r="K495" s="33"/>
      <c r="L495" s="34"/>
      <c r="S495">
        <f>ROUND((Source!FX161/100)*((ROUND(Source!AF161*Source!I161, 0)+ROUND(Source!AE161*Source!I161, 0))), 0)</f>
        <v>7</v>
      </c>
      <c r="T495">
        <f>Source!X161</f>
        <v>161</v>
      </c>
      <c r="U495">
        <f>ROUND((Source!FY161/100)*((ROUND(Source!AF161*Source!I161, 0)+ROUND(Source!AE161*Source!I161, 0))), 0)</f>
        <v>5</v>
      </c>
      <c r="V495">
        <f>Source!Y161</f>
        <v>104</v>
      </c>
    </row>
    <row r="496" spans="1:26">
      <c r="C496" s="49" t="str">
        <f>"Объем: "&amp;Source!I161&amp;"=1,5/"&amp;"100"</f>
        <v>Объем: 0,015=1,5/100</v>
      </c>
    </row>
    <row r="497" spans="1:26" ht="14.4">
      <c r="A497" s="27"/>
      <c r="B497" s="28"/>
      <c r="C497" s="25" t="s">
        <v>962</v>
      </c>
      <c r="D497" s="30"/>
      <c r="E497" s="10"/>
      <c r="F497" s="32">
        <f>Source!AO161</f>
        <v>602.08000000000004</v>
      </c>
      <c r="G497" s="31" t="str">
        <f>Source!DG161</f>
        <v>)*1,15</v>
      </c>
      <c r="H497" s="33">
        <f>ROUND(Source!AF161*Source!I161, 0)</f>
        <v>10</v>
      </c>
      <c r="I497" s="31"/>
      <c r="J497" s="31">
        <f>IF(Source!BA161&lt;&gt; 0, Source!BA161, 1)</f>
        <v>20.88</v>
      </c>
      <c r="K497" s="33">
        <f>Source!S161</f>
        <v>217</v>
      </c>
      <c r="L497" s="34"/>
      <c r="R497">
        <f>H497</f>
        <v>10</v>
      </c>
    </row>
    <row r="498" spans="1:26" ht="14.4">
      <c r="A498" s="27"/>
      <c r="B498" s="28"/>
      <c r="C498" s="25" t="s">
        <v>125</v>
      </c>
      <c r="D498" s="30"/>
      <c r="E498" s="10"/>
      <c r="F498" s="32">
        <f>Source!AM161</f>
        <v>18.34</v>
      </c>
      <c r="G498" s="31" t="str">
        <f>Source!DE161</f>
        <v>)*1,25</v>
      </c>
      <c r="H498" s="33">
        <f>ROUND(Source!AD161*Source!I161, 0)</f>
        <v>0</v>
      </c>
      <c r="I498" s="31"/>
      <c r="J498" s="31">
        <f>IF(Source!BB161&lt;&gt; 0, Source!BB161, 1)</f>
        <v>3.57</v>
      </c>
      <c r="K498" s="33">
        <f>Source!Q161</f>
        <v>1</v>
      </c>
      <c r="L498" s="34"/>
    </row>
    <row r="499" spans="1:26" ht="14.4">
      <c r="A499" s="27"/>
      <c r="B499" s="28"/>
      <c r="C499" s="25" t="s">
        <v>969</v>
      </c>
      <c r="D499" s="30"/>
      <c r="E499" s="10"/>
      <c r="F499" s="32">
        <f>Source!AL161</f>
        <v>5231.84</v>
      </c>
      <c r="G499" s="31" t="str">
        <f>Source!DD161</f>
        <v/>
      </c>
      <c r="H499" s="33">
        <f>ROUND(Source!AC161*Source!I161, 0)</f>
        <v>78</v>
      </c>
      <c r="I499" s="31"/>
      <c r="J499" s="31">
        <f>IF(Source!BC161&lt;&gt; 0, Source!BC161, 1)</f>
        <v>5.65</v>
      </c>
      <c r="K499" s="33">
        <f>Source!P161</f>
        <v>443</v>
      </c>
      <c r="L499" s="34"/>
    </row>
    <row r="500" spans="1:26" ht="14.4">
      <c r="A500" s="27"/>
      <c r="B500" s="28"/>
      <c r="C500" s="25" t="s">
        <v>964</v>
      </c>
      <c r="D500" s="30" t="s">
        <v>965</v>
      </c>
      <c r="E500" s="10">
        <f>Source!BZ161</f>
        <v>118</v>
      </c>
      <c r="F500" s="92" t="str">
        <f>CONCATENATE(" )", Source!DL161, Source!FT161, "=", Source!FX161)</f>
        <v xml:space="preserve"> )*0,9*0,7=74,34</v>
      </c>
      <c r="G500" s="90"/>
      <c r="H500" s="33">
        <f>SUM(S495:S502)</f>
        <v>7</v>
      </c>
      <c r="I500" s="35"/>
      <c r="J500" s="25">
        <f>Source!AT161</f>
        <v>74</v>
      </c>
      <c r="K500" s="33">
        <f>SUM(T495:T502)</f>
        <v>161</v>
      </c>
      <c r="L500" s="34"/>
    </row>
    <row r="501" spans="1:26" ht="14.4">
      <c r="A501" s="27"/>
      <c r="B501" s="28"/>
      <c r="C501" s="25" t="s">
        <v>966</v>
      </c>
      <c r="D501" s="30" t="s">
        <v>965</v>
      </c>
      <c r="E501" s="10">
        <f>Source!CA161</f>
        <v>63</v>
      </c>
      <c r="F501" s="92" t="str">
        <f>CONCATENATE(" )", Source!DM161, Source!FU161, "=", Source!FY161)</f>
        <v xml:space="preserve"> )*0,85*0,9=48,195</v>
      </c>
      <c r="G501" s="90"/>
      <c r="H501" s="33">
        <f>SUM(U495:U502)</f>
        <v>5</v>
      </c>
      <c r="I501" s="35"/>
      <c r="J501" s="25">
        <f>Source!AU161</f>
        <v>48</v>
      </c>
      <c r="K501" s="33">
        <f>SUM(V495:V502)</f>
        <v>104</v>
      </c>
      <c r="L501" s="34"/>
    </row>
    <row r="502" spans="1:26" ht="14.4">
      <c r="A502" s="39"/>
      <c r="B502" s="40"/>
      <c r="C502" s="41" t="s">
        <v>967</v>
      </c>
      <c r="D502" s="42" t="s">
        <v>968</v>
      </c>
      <c r="E502" s="43">
        <f>Source!AQ161</f>
        <v>71</v>
      </c>
      <c r="F502" s="44"/>
      <c r="G502" s="45" t="str">
        <f>Source!DI161</f>
        <v>)*1,15</v>
      </c>
      <c r="H502" s="46"/>
      <c r="I502" s="45"/>
      <c r="J502" s="45"/>
      <c r="K502" s="46"/>
      <c r="L502" s="47">
        <f>Source!U161</f>
        <v>1.2247499999999998</v>
      </c>
    </row>
    <row r="503" spans="1:26" ht="13.8">
      <c r="G503" s="93">
        <f>ROUND(Source!AC161*Source!I161, 0)+ROUND(Source!AF161*Source!I161, 0)+ROUND(Source!AD161*Source!I161, 0)+SUM(H500:H501)</f>
        <v>100</v>
      </c>
      <c r="H503" s="93"/>
      <c r="J503" s="93">
        <f>Source!O161+SUM(K500:K501)</f>
        <v>926</v>
      </c>
      <c r="K503" s="93"/>
      <c r="L503" s="38">
        <f>Source!U161</f>
        <v>1.2247499999999998</v>
      </c>
      <c r="O503" s="37">
        <f>G503</f>
        <v>100</v>
      </c>
      <c r="P503" s="37">
        <f>J503</f>
        <v>926</v>
      </c>
      <c r="Q503" s="48">
        <f>L503</f>
        <v>1.2247499999999998</v>
      </c>
      <c r="W503">
        <f>IF(Source!BI161&lt;=1,G503, 0)</f>
        <v>100</v>
      </c>
      <c r="X503">
        <f>IF(Source!BI161=2,G503, 0)</f>
        <v>0</v>
      </c>
      <c r="Y503">
        <f>IF(Source!BI161=3,G503, 0)</f>
        <v>0</v>
      </c>
      <c r="Z503">
        <f>IF(Source!BI161=4,G503, 0)</f>
        <v>0</v>
      </c>
    </row>
    <row r="504" spans="1:26" ht="83.4">
      <c r="A504" s="27" t="str">
        <f>Source!E162</f>
        <v>60</v>
      </c>
      <c r="B504" s="28" t="str">
        <f>Source!F162</f>
        <v>15-01-019-5</v>
      </c>
      <c r="C504" s="25" t="str">
        <f>Source!G162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D504" s="30" t="str">
        <f>Source!H162</f>
        <v>100 М2 ПОВЕРХНОСТИ ОБЛИЦОВКИ</v>
      </c>
      <c r="E504" s="10">
        <f>Source!I162</f>
        <v>0.02</v>
      </c>
      <c r="F504" s="32">
        <f>IF(Source!AK162&lt;&gt; 0, Source!AK162,Source!AL162 + Source!AM162 + Source!AO162)</f>
        <v>10508.87</v>
      </c>
      <c r="G504" s="31"/>
      <c r="H504" s="33"/>
      <c r="I504" s="31" t="str">
        <f>Source!BO162</f>
        <v>15-01-019-5</v>
      </c>
      <c r="J504" s="31"/>
      <c r="K504" s="33"/>
      <c r="L504" s="34"/>
      <c r="S504">
        <f>ROUND((Source!FX162/100)*((ROUND(Source!AF162*Source!I162, 0)+ROUND(Source!AE162*Source!I162, 0))), 0)</f>
        <v>21</v>
      </c>
      <c r="T504">
        <f>Source!X162</f>
        <v>440</v>
      </c>
      <c r="U504">
        <f>ROUND((Source!FY162/100)*((ROUND(Source!AF162*Source!I162, 0)+ROUND(Source!AE162*Source!I162, 0))), 0)</f>
        <v>13</v>
      </c>
      <c r="V504">
        <f>Source!Y162</f>
        <v>280</v>
      </c>
    </row>
    <row r="505" spans="1:26">
      <c r="C505" s="49" t="str">
        <f>"Объем: "&amp;Source!I162&amp;"=2/"&amp;"100"</f>
        <v>Объем: 0,02=2/100</v>
      </c>
    </row>
    <row r="506" spans="1:26" ht="14.4">
      <c r="A506" s="27"/>
      <c r="B506" s="28"/>
      <c r="C506" s="25" t="s">
        <v>962</v>
      </c>
      <c r="D506" s="30"/>
      <c r="E506" s="10"/>
      <c r="F506" s="32">
        <f>Source!AO162</f>
        <v>1369.97</v>
      </c>
      <c r="G506" s="31" t="str">
        <f>Source!DG162</f>
        <v>)*1,15</v>
      </c>
      <c r="H506" s="33">
        <f>ROUND(Source!AF162*Source!I162, 0)</f>
        <v>32</v>
      </c>
      <c r="I506" s="31"/>
      <c r="J506" s="31">
        <f>IF(Source!BA162&lt;&gt; 0, Source!BA162, 1)</f>
        <v>20.88</v>
      </c>
      <c r="K506" s="33">
        <f>Source!S162</f>
        <v>658</v>
      </c>
      <c r="L506" s="34"/>
      <c r="R506">
        <f>H506</f>
        <v>32</v>
      </c>
    </row>
    <row r="507" spans="1:26" ht="14.4">
      <c r="A507" s="27"/>
      <c r="B507" s="28"/>
      <c r="C507" s="25" t="s">
        <v>125</v>
      </c>
      <c r="D507" s="30"/>
      <c r="E507" s="10"/>
      <c r="F507" s="32">
        <f>Source!AM162</f>
        <v>30.36</v>
      </c>
      <c r="G507" s="31" t="str">
        <f>Source!DE162</f>
        <v>)*1,25</v>
      </c>
      <c r="H507" s="33">
        <f>ROUND(Source!AD162*Source!I162, 0)</f>
        <v>1</v>
      </c>
      <c r="I507" s="31"/>
      <c r="J507" s="31">
        <f>IF(Source!BB162&lt;&gt; 0, Source!BB162, 1)</f>
        <v>13.63</v>
      </c>
      <c r="K507" s="33">
        <f>Source!Q162</f>
        <v>10</v>
      </c>
      <c r="L507" s="34"/>
    </row>
    <row r="508" spans="1:26" ht="14.4">
      <c r="A508" s="27"/>
      <c r="B508" s="28"/>
      <c r="C508" s="25" t="s">
        <v>963</v>
      </c>
      <c r="D508" s="30"/>
      <c r="E508" s="10"/>
      <c r="F508" s="32">
        <f>Source!AN162</f>
        <v>15.69</v>
      </c>
      <c r="G508" s="31" t="str">
        <f>Source!DF162</f>
        <v>)*1,25</v>
      </c>
      <c r="H508" s="33">
        <f>ROUND(Source!AE162*Source!I162, 0)</f>
        <v>0</v>
      </c>
      <c r="I508" s="31"/>
      <c r="J508" s="31">
        <f>IF(Source!BS162&lt;&gt; 0, Source!BS162, 1)</f>
        <v>20.88</v>
      </c>
      <c r="K508" s="33">
        <f>Source!R162</f>
        <v>8</v>
      </c>
      <c r="L508" s="34"/>
      <c r="R508">
        <f>H508</f>
        <v>0</v>
      </c>
    </row>
    <row r="509" spans="1:26" ht="14.4">
      <c r="A509" s="27"/>
      <c r="B509" s="28"/>
      <c r="C509" s="25" t="s">
        <v>969</v>
      </c>
      <c r="D509" s="30"/>
      <c r="E509" s="10"/>
      <c r="F509" s="32">
        <f>Source!AL162</f>
        <v>9108.5400000000009</v>
      </c>
      <c r="G509" s="31" t="str">
        <f>Source!DD162</f>
        <v/>
      </c>
      <c r="H509" s="33">
        <f>ROUND(Source!AC162*Source!I162, 0)</f>
        <v>182</v>
      </c>
      <c r="I509" s="31"/>
      <c r="J509" s="31">
        <f>IF(Source!BC162&lt;&gt; 0, Source!BC162, 1)</f>
        <v>3.59</v>
      </c>
      <c r="K509" s="33">
        <f>Source!P162</f>
        <v>654</v>
      </c>
      <c r="L509" s="34"/>
    </row>
    <row r="510" spans="1:26" ht="14.4">
      <c r="A510" s="27"/>
      <c r="B510" s="28"/>
      <c r="C510" s="25" t="s">
        <v>964</v>
      </c>
      <c r="D510" s="30" t="s">
        <v>965</v>
      </c>
      <c r="E510" s="10">
        <f>Source!BZ162</f>
        <v>105</v>
      </c>
      <c r="F510" s="92" t="str">
        <f>CONCATENATE(" )", Source!DL162, Source!FT162, "=", Source!FX162)</f>
        <v xml:space="preserve"> )*0,9*0,7=66,15</v>
      </c>
      <c r="G510" s="90"/>
      <c r="H510" s="33">
        <f>SUM(S504:S513)</f>
        <v>21</v>
      </c>
      <c r="I510" s="35"/>
      <c r="J510" s="25">
        <f>Source!AT162</f>
        <v>66</v>
      </c>
      <c r="K510" s="33">
        <f>SUM(T504:T513)</f>
        <v>440</v>
      </c>
      <c r="L510" s="34"/>
    </row>
    <row r="511" spans="1:26" ht="14.4">
      <c r="A511" s="27"/>
      <c r="B511" s="28"/>
      <c r="C511" s="25" t="s">
        <v>966</v>
      </c>
      <c r="D511" s="30" t="s">
        <v>965</v>
      </c>
      <c r="E511" s="10">
        <f>Source!CA162</f>
        <v>55</v>
      </c>
      <c r="F511" s="92" t="str">
        <f>CONCATENATE(" )", Source!DM162, Source!FU162, "=", Source!FY162)</f>
        <v xml:space="preserve"> )*0,85*0,9=42,075</v>
      </c>
      <c r="G511" s="90"/>
      <c r="H511" s="33">
        <f>SUM(U504:U513)</f>
        <v>13</v>
      </c>
      <c r="I511" s="35"/>
      <c r="J511" s="25">
        <f>Source!AU162</f>
        <v>42</v>
      </c>
      <c r="K511" s="33">
        <f>SUM(V504:V513)</f>
        <v>280</v>
      </c>
      <c r="L511" s="34"/>
    </row>
    <row r="512" spans="1:26" ht="14.4">
      <c r="A512" s="27"/>
      <c r="B512" s="28"/>
      <c r="C512" s="25" t="s">
        <v>967</v>
      </c>
      <c r="D512" s="30" t="s">
        <v>968</v>
      </c>
      <c r="E512" s="10">
        <f>Source!AQ162</f>
        <v>159.66999999999999</v>
      </c>
      <c r="F512" s="32"/>
      <c r="G512" s="31" t="str">
        <f>Source!DI162</f>
        <v>)*1,15</v>
      </c>
      <c r="H512" s="33"/>
      <c r="I512" s="31"/>
      <c r="J512" s="31"/>
      <c r="K512" s="33"/>
      <c r="L512" s="36">
        <f>Source!U162</f>
        <v>3.6724099999999993</v>
      </c>
    </row>
    <row r="513" spans="1:28" ht="43.2">
      <c r="A513" s="53" t="str">
        <f>Source!E163</f>
        <v>60,1</v>
      </c>
      <c r="B513" s="53" t="str">
        <f>Source!F163</f>
        <v>101-0256</v>
      </c>
      <c r="C513" s="53" t="str">
        <f>Source!G163</f>
        <v>Плитки керамические глазурованные для внутренней облицовки стен гладкие без завала белые</v>
      </c>
      <c r="D513" s="54" t="str">
        <f>Source!H163</f>
        <v>м2</v>
      </c>
      <c r="E513" s="55">
        <f>Source!I163</f>
        <v>-2</v>
      </c>
      <c r="F513" s="56">
        <f>Source!AK163</f>
        <v>68</v>
      </c>
      <c r="G513" s="57" t="s">
        <v>3</v>
      </c>
      <c r="H513" s="58">
        <f>ROUND(Source!AC163*Source!I163, 0)+ROUND(Source!AD163*Source!I163, 0)+ROUND(Source!AF163*Source!I163, 0)</f>
        <v>-136</v>
      </c>
      <c r="I513" s="54"/>
      <c r="J513" s="54">
        <f>IF(Source!BC163&lt;&gt; 0, Source!BC163, 1)</f>
        <v>3.78</v>
      </c>
      <c r="K513" s="58">
        <f>Source!O163</f>
        <v>-514</v>
      </c>
      <c r="L513" s="56"/>
      <c r="S513">
        <f>ROUND((Source!FX163/100)*((ROUND(Source!AF163*Source!I163, 0)+ROUND(Source!AE163*Source!I163, 0))), 0)</f>
        <v>0</v>
      </c>
      <c r="T513">
        <f>Source!X163</f>
        <v>0</v>
      </c>
      <c r="U513">
        <f>ROUND((Source!FY163/100)*((ROUND(Source!AF163*Source!I163, 0)+ROUND(Source!AE163*Source!I163, 0))), 0)</f>
        <v>0</v>
      </c>
      <c r="V513">
        <f>Source!Y163</f>
        <v>0</v>
      </c>
      <c r="Y513">
        <f>IF(Source!BI163=3,H513, 0)</f>
        <v>0</v>
      </c>
      <c r="AA513">
        <f>ROUND(Source!AC163*Source!I163, 0)+ROUND(Source!AD163*Source!I163, 0)+ROUND(Source!AF163*Source!I163, 0)</f>
        <v>-136</v>
      </c>
      <c r="AB513">
        <f>Source!O163</f>
        <v>-514</v>
      </c>
    </row>
    <row r="514" spans="1:28" ht="13.8">
      <c r="G514" s="93">
        <f>ROUND(Source!AC162*Source!I162, 0)+ROUND(Source!AF162*Source!I162, 0)+ROUND(Source!AD162*Source!I162, 0)+SUM(H510:H511)+SUM(AA513:AA513)</f>
        <v>113</v>
      </c>
      <c r="H514" s="93"/>
      <c r="J514" s="93">
        <f>Source!O162+SUM(K510:K511)+SUM(AB513:AB513)</f>
        <v>1528</v>
      </c>
      <c r="K514" s="93"/>
      <c r="L514" s="38">
        <f>Source!U162</f>
        <v>3.6724099999999993</v>
      </c>
      <c r="O514" s="37">
        <f>G514</f>
        <v>113</v>
      </c>
      <c r="P514" s="37">
        <f>J514</f>
        <v>1528</v>
      </c>
      <c r="Q514" s="48">
        <f>L514</f>
        <v>3.6724099999999993</v>
      </c>
      <c r="W514">
        <f>IF(Source!BI162&lt;=1,G514, 0)</f>
        <v>113</v>
      </c>
      <c r="X514">
        <f>IF(Source!BI162=2,G514, 0)</f>
        <v>0</v>
      </c>
      <c r="Y514">
        <f>IF(Source!BI162=3,G514, 0)</f>
        <v>0</v>
      </c>
      <c r="Z514">
        <f>IF(Source!BI162=4,G514, 0)</f>
        <v>0</v>
      </c>
    </row>
    <row r="515" spans="1:28" ht="42">
      <c r="A515" s="27" t="str">
        <f>Source!E164</f>
        <v>61</v>
      </c>
      <c r="B515" s="28" t="str">
        <f>Source!F164</f>
        <v>101-0258</v>
      </c>
      <c r="C515" s="25" t="str">
        <f>Source!G164</f>
        <v>Плитки керамические глазурованные для внутренней облицовки стен гладкие без завала цветные (однотонные)</v>
      </c>
      <c r="D515" s="30" t="str">
        <f>Source!H164</f>
        <v>м2</v>
      </c>
      <c r="E515" s="10">
        <f>Source!I164</f>
        <v>2</v>
      </c>
      <c r="F515" s="32">
        <f>IF(Source!AK164&lt;&gt; 0, Source!AK164,Source!AL164 + Source!AM164 + Source!AO164)</f>
        <v>110.96</v>
      </c>
      <c r="G515" s="31"/>
      <c r="H515" s="33"/>
      <c r="I515" s="31" t="str">
        <f>Source!BO164</f>
        <v>101-0258</v>
      </c>
      <c r="J515" s="31"/>
      <c r="K515" s="33"/>
      <c r="L515" s="34"/>
      <c r="S515">
        <f>ROUND((Source!FX164/100)*((ROUND(Source!AF164*Source!I164, 0)+ROUND(Source!AE164*Source!I164, 0))), 0)</f>
        <v>0</v>
      </c>
      <c r="T515">
        <f>Source!X164</f>
        <v>0</v>
      </c>
      <c r="U515">
        <f>ROUND((Source!FY164/100)*((ROUND(Source!AF164*Source!I164, 0)+ROUND(Source!AE164*Source!I164, 0))), 0)</f>
        <v>0</v>
      </c>
      <c r="V515">
        <f>Source!Y164</f>
        <v>0</v>
      </c>
    </row>
    <row r="516" spans="1:28" ht="14.4">
      <c r="A516" s="39"/>
      <c r="B516" s="40"/>
      <c r="C516" s="41" t="s">
        <v>969</v>
      </c>
      <c r="D516" s="42"/>
      <c r="E516" s="43"/>
      <c r="F516" s="44">
        <f>Source!AL164</f>
        <v>110.96</v>
      </c>
      <c r="G516" s="45" t="str">
        <f>Source!DD164</f>
        <v/>
      </c>
      <c r="H516" s="46">
        <f>ROUND(Source!AC164*Source!I164, 0)</f>
        <v>222</v>
      </c>
      <c r="I516" s="45"/>
      <c r="J516" s="45">
        <f>IF(Source!BC164&lt;&gt; 0, Source!BC164, 1)</f>
        <v>3.55</v>
      </c>
      <c r="K516" s="46">
        <f>Source!P164</f>
        <v>788</v>
      </c>
      <c r="L516" s="52"/>
    </row>
    <row r="517" spans="1:28" ht="13.8">
      <c r="G517" s="93">
        <f>ROUND(Source!AC164*Source!I164, 0)+ROUND(Source!AF164*Source!I164, 0)+ROUND(Source!AD164*Source!I164, 0)</f>
        <v>222</v>
      </c>
      <c r="H517" s="93"/>
      <c r="J517" s="93">
        <f>Source!O164</f>
        <v>788</v>
      </c>
      <c r="K517" s="93"/>
      <c r="L517" s="38">
        <f>Source!U164</f>
        <v>0</v>
      </c>
      <c r="O517" s="37">
        <f>G517</f>
        <v>222</v>
      </c>
      <c r="P517" s="37">
        <f>J517</f>
        <v>788</v>
      </c>
      <c r="Q517" s="48">
        <f>L517</f>
        <v>0</v>
      </c>
      <c r="W517">
        <f>IF(Source!BI164&lt;=1,G517, 0)</f>
        <v>222</v>
      </c>
      <c r="X517">
        <f>IF(Source!BI164=2,G517, 0)</f>
        <v>0</v>
      </c>
      <c r="Y517">
        <f>IF(Source!BI164=3,G517, 0)</f>
        <v>0</v>
      </c>
      <c r="Z517">
        <f>IF(Source!BI164=4,G517, 0)</f>
        <v>0</v>
      </c>
    </row>
    <row r="518" spans="1:28" ht="72">
      <c r="A518" s="27" t="str">
        <f>Source!E165</f>
        <v>62</v>
      </c>
      <c r="B518" s="28" t="str">
        <f>Source!F165</f>
        <v>65-33-1</v>
      </c>
      <c r="C518" s="25" t="str">
        <f>Source!G165</f>
        <v>Смена жалюзийных решеток</v>
      </c>
      <c r="D518" s="30" t="str">
        <f>Source!H165</f>
        <v>100 ЖАЛЮЗИЙНЫХ РЕШЕТОК</v>
      </c>
      <c r="E518" s="10">
        <f>Source!I165</f>
        <v>0.01</v>
      </c>
      <c r="F518" s="32">
        <f>IF(Source!AK165&lt;&gt; 0, Source!AK165,Source!AL165 + Source!AM165 + Source!AO165)</f>
        <v>3230</v>
      </c>
      <c r="G518" s="31"/>
      <c r="H518" s="33"/>
      <c r="I518" s="31" t="str">
        <f>Source!BO165</f>
        <v>65-33-1</v>
      </c>
      <c r="J518" s="31"/>
      <c r="K518" s="33"/>
      <c r="L518" s="34"/>
      <c r="S518">
        <f>ROUND((Source!FX165/100)*((ROUND(Source!AF165*Source!I165, 0)+ROUND(Source!AE165*Source!I165, 0))), 0)</f>
        <v>3</v>
      </c>
      <c r="T518">
        <f>Source!X165</f>
        <v>55</v>
      </c>
      <c r="U518">
        <f>ROUND((Source!FY165/100)*((ROUND(Source!AF165*Source!I165, 0)+ROUND(Source!AE165*Source!I165, 0))), 0)</f>
        <v>2</v>
      </c>
      <c r="V518">
        <f>Source!Y165</f>
        <v>42</v>
      </c>
    </row>
    <row r="519" spans="1:28">
      <c r="C519" s="49" t="str">
        <f>"Объем: "&amp;Source!I165&amp;"=1/"&amp;"100"</f>
        <v>Объем: 0,01=1/100</v>
      </c>
    </row>
    <row r="520" spans="1:28" ht="14.4">
      <c r="A520" s="27"/>
      <c r="B520" s="28"/>
      <c r="C520" s="25" t="s">
        <v>962</v>
      </c>
      <c r="D520" s="30"/>
      <c r="E520" s="10"/>
      <c r="F520" s="32">
        <f>Source!AO165</f>
        <v>368.13</v>
      </c>
      <c r="G520" s="31" t="str">
        <f>Source!DG165</f>
        <v/>
      </c>
      <c r="H520" s="33">
        <f>ROUND(Source!AF165*Source!I165, 0)</f>
        <v>4</v>
      </c>
      <c r="I520" s="31"/>
      <c r="J520" s="31">
        <f>IF(Source!BA165&lt;&gt; 0, Source!BA165, 1)</f>
        <v>20.88</v>
      </c>
      <c r="K520" s="33">
        <f>Source!S165</f>
        <v>77</v>
      </c>
      <c r="L520" s="34"/>
      <c r="R520">
        <f>H520</f>
        <v>4</v>
      </c>
    </row>
    <row r="521" spans="1:28" ht="14.4">
      <c r="A521" s="27"/>
      <c r="B521" s="28"/>
      <c r="C521" s="25" t="s">
        <v>969</v>
      </c>
      <c r="D521" s="30"/>
      <c r="E521" s="10"/>
      <c r="F521" s="32">
        <f>Source!AL165</f>
        <v>2861.55</v>
      </c>
      <c r="G521" s="31" t="str">
        <f>Source!DD165</f>
        <v/>
      </c>
      <c r="H521" s="33">
        <f>ROUND(Source!AC165*Source!I165, 0)</f>
        <v>29</v>
      </c>
      <c r="I521" s="31"/>
      <c r="J521" s="31">
        <f>IF(Source!BC165&lt;&gt; 0, Source!BC165, 1)</f>
        <v>5.38</v>
      </c>
      <c r="K521" s="33">
        <f>Source!P165</f>
        <v>154</v>
      </c>
      <c r="L521" s="34"/>
    </row>
    <row r="522" spans="1:28" ht="14.4">
      <c r="A522" s="27"/>
      <c r="B522" s="28"/>
      <c r="C522" s="25" t="s">
        <v>964</v>
      </c>
      <c r="D522" s="30" t="s">
        <v>965</v>
      </c>
      <c r="E522" s="10">
        <f>Source!BZ165</f>
        <v>103</v>
      </c>
      <c r="F522" s="92" t="str">
        <f>CONCATENATE(" )", Source!DL165, Source!FT165, "=", Source!FX165)</f>
        <v xml:space="preserve"> )*0,7=72,1</v>
      </c>
      <c r="G522" s="90"/>
      <c r="H522" s="33">
        <f>SUM(S518:S524)</f>
        <v>3</v>
      </c>
      <c r="I522" s="35"/>
      <c r="J522" s="25">
        <f>Source!AT165</f>
        <v>72</v>
      </c>
      <c r="K522" s="33">
        <f>SUM(T518:T524)</f>
        <v>55</v>
      </c>
      <c r="L522" s="34"/>
    </row>
    <row r="523" spans="1:28" ht="14.4">
      <c r="A523" s="27"/>
      <c r="B523" s="28"/>
      <c r="C523" s="25" t="s">
        <v>966</v>
      </c>
      <c r="D523" s="30" t="s">
        <v>965</v>
      </c>
      <c r="E523" s="10">
        <f>Source!CA165</f>
        <v>60</v>
      </c>
      <c r="F523" s="92" t="str">
        <f>CONCATENATE(" )", Source!DM165, Source!FU165, "=", Source!FY165)</f>
        <v xml:space="preserve"> )*0,9=54</v>
      </c>
      <c r="G523" s="90"/>
      <c r="H523" s="33">
        <f>SUM(U518:U524)</f>
        <v>2</v>
      </c>
      <c r="I523" s="35"/>
      <c r="J523" s="25">
        <f>Source!AU165</f>
        <v>54</v>
      </c>
      <c r="K523" s="33">
        <f>SUM(V518:V524)</f>
        <v>42</v>
      </c>
      <c r="L523" s="34"/>
    </row>
    <row r="524" spans="1:28" ht="14.4">
      <c r="A524" s="39"/>
      <c r="B524" s="40"/>
      <c r="C524" s="41" t="s">
        <v>967</v>
      </c>
      <c r="D524" s="42" t="s">
        <v>968</v>
      </c>
      <c r="E524" s="43">
        <f>Source!AQ165</f>
        <v>46.19</v>
      </c>
      <c r="F524" s="44"/>
      <c r="G524" s="45" t="str">
        <f>Source!DI165</f>
        <v/>
      </c>
      <c r="H524" s="46"/>
      <c r="I524" s="45"/>
      <c r="J524" s="45"/>
      <c r="K524" s="46"/>
      <c r="L524" s="47">
        <f>Source!U165</f>
        <v>0.46189999999999998</v>
      </c>
    </row>
    <row r="525" spans="1:28" ht="13.8">
      <c r="G525" s="93">
        <f>ROUND(Source!AC165*Source!I165, 0)+ROUND(Source!AF165*Source!I165, 0)+ROUND(Source!AD165*Source!I165, 0)+SUM(H522:H523)</f>
        <v>38</v>
      </c>
      <c r="H525" s="93"/>
      <c r="J525" s="93">
        <f>Source!O165+SUM(K522:K523)</f>
        <v>328</v>
      </c>
      <c r="K525" s="93"/>
      <c r="L525" s="38">
        <f>Source!U165</f>
        <v>0.46189999999999998</v>
      </c>
      <c r="O525" s="37">
        <f>G525</f>
        <v>38</v>
      </c>
      <c r="P525" s="37">
        <f>J525</f>
        <v>328</v>
      </c>
      <c r="Q525" s="48">
        <f>L525</f>
        <v>0.46189999999999998</v>
      </c>
      <c r="W525">
        <f>IF(Source!BI165&lt;=1,G525, 0)</f>
        <v>38</v>
      </c>
      <c r="X525">
        <f>IF(Source!BI165=2,G525, 0)</f>
        <v>0</v>
      </c>
      <c r="Y525">
        <f>IF(Source!BI165=3,G525, 0)</f>
        <v>0</v>
      </c>
      <c r="Z525">
        <f>IF(Source!BI165=4,G525, 0)</f>
        <v>0</v>
      </c>
    </row>
    <row r="526" spans="1:28" ht="72">
      <c r="A526" s="27" t="str">
        <f>Source!E166</f>
        <v>63</v>
      </c>
      <c r="B526" s="28" t="str">
        <f>Source!F166</f>
        <v>15-04-025-4</v>
      </c>
      <c r="C526" s="25" t="str">
        <f>Source!G166</f>
        <v>Улучшенная окраска масляными составами по дереву заполнений дверных проемов</v>
      </c>
      <c r="D526" s="30" t="str">
        <f>Source!H166</f>
        <v>100 м2 окрашиваемой поверхности</v>
      </c>
      <c r="E526" s="10">
        <f>Source!I166</f>
        <v>0.04</v>
      </c>
      <c r="F526" s="32">
        <f>IF(Source!AK166&lt;&gt; 0, Source!AK166,Source!AL166 + Source!AM166 + Source!AO166)</f>
        <v>1471.41</v>
      </c>
      <c r="G526" s="31"/>
      <c r="H526" s="33"/>
      <c r="I526" s="31" t="str">
        <f>Source!BO166</f>
        <v>15-04-025-4</v>
      </c>
      <c r="J526" s="31"/>
      <c r="K526" s="33"/>
      <c r="L526" s="34"/>
      <c r="S526">
        <f>ROUND((Source!FX166/100)*((ROUND(Source!AF166*Source!I166, 0)+ROUND(Source!AE166*Source!I166, 0))), 0)</f>
        <v>24</v>
      </c>
      <c r="T526">
        <f>Source!X166</f>
        <v>498</v>
      </c>
      <c r="U526">
        <f>ROUND((Source!FY166/100)*((ROUND(Source!AF166*Source!I166, 0)+ROUND(Source!AE166*Source!I166, 0))), 0)</f>
        <v>15</v>
      </c>
      <c r="V526">
        <f>Source!Y166</f>
        <v>317</v>
      </c>
    </row>
    <row r="527" spans="1:28">
      <c r="C527" s="49" t="str">
        <f>"Объем: "&amp;Source!I166&amp;"=4/"&amp;"100"</f>
        <v>Объем: 0,04=4/100</v>
      </c>
    </row>
    <row r="528" spans="1:28" ht="14.4">
      <c r="A528" s="27"/>
      <c r="B528" s="28"/>
      <c r="C528" s="25" t="s">
        <v>962</v>
      </c>
      <c r="D528" s="30"/>
      <c r="E528" s="10"/>
      <c r="F528" s="32">
        <f>Source!AO166</f>
        <v>786.35</v>
      </c>
      <c r="G528" s="31" t="str">
        <f>Source!DG166</f>
        <v>)*1,15</v>
      </c>
      <c r="H528" s="33">
        <f>ROUND(Source!AF166*Source!I166, 0)</f>
        <v>36</v>
      </c>
      <c r="I528" s="31"/>
      <c r="J528" s="31">
        <f>IF(Source!BA166&lt;&gt; 0, Source!BA166, 1)</f>
        <v>20.88</v>
      </c>
      <c r="K528" s="33">
        <f>Source!S166</f>
        <v>755</v>
      </c>
      <c r="L528" s="34"/>
      <c r="R528">
        <f>H528</f>
        <v>36</v>
      </c>
    </row>
    <row r="529" spans="1:26" ht="14.4">
      <c r="A529" s="27"/>
      <c r="B529" s="28"/>
      <c r="C529" s="25" t="s">
        <v>125</v>
      </c>
      <c r="D529" s="30"/>
      <c r="E529" s="10"/>
      <c r="F529" s="32">
        <f>Source!AM166</f>
        <v>8.58</v>
      </c>
      <c r="G529" s="31" t="str">
        <f>Source!DE166</f>
        <v>)*1,25</v>
      </c>
      <c r="H529" s="33">
        <f>ROUND(Source!AD166*Source!I166, 0)</f>
        <v>0</v>
      </c>
      <c r="I529" s="31"/>
      <c r="J529" s="31">
        <f>IF(Source!BB166&lt;&gt; 0, Source!BB166, 1)</f>
        <v>9.23</v>
      </c>
      <c r="K529" s="33">
        <f>Source!Q166</f>
        <v>4</v>
      </c>
      <c r="L529" s="34"/>
    </row>
    <row r="530" spans="1:26" ht="14.4">
      <c r="A530" s="27"/>
      <c r="B530" s="28"/>
      <c r="C530" s="25" t="s">
        <v>969</v>
      </c>
      <c r="D530" s="30"/>
      <c r="E530" s="10"/>
      <c r="F530" s="32">
        <f>Source!AL166</f>
        <v>676.48</v>
      </c>
      <c r="G530" s="31" t="str">
        <f>Source!DD166</f>
        <v/>
      </c>
      <c r="H530" s="33">
        <f>ROUND(Source!AC166*Source!I166, 0)</f>
        <v>27</v>
      </c>
      <c r="I530" s="31"/>
      <c r="J530" s="31">
        <f>IF(Source!BC166&lt;&gt; 0, Source!BC166, 1)</f>
        <v>3.69</v>
      </c>
      <c r="K530" s="33">
        <f>Source!P166</f>
        <v>100</v>
      </c>
      <c r="L530" s="34"/>
    </row>
    <row r="531" spans="1:26" ht="14.4">
      <c r="A531" s="27"/>
      <c r="B531" s="28"/>
      <c r="C531" s="25" t="s">
        <v>964</v>
      </c>
      <c r="D531" s="30" t="s">
        <v>965</v>
      </c>
      <c r="E531" s="10">
        <f>Source!BZ166</f>
        <v>105</v>
      </c>
      <c r="F531" s="92" t="str">
        <f>CONCATENATE(" )", Source!DL166, Source!FT166, "=", Source!FX166)</f>
        <v xml:space="preserve"> )*0,9*0,7=66,15</v>
      </c>
      <c r="G531" s="90"/>
      <c r="H531" s="33">
        <f>SUM(S526:S533)</f>
        <v>24</v>
      </c>
      <c r="I531" s="35"/>
      <c r="J531" s="25">
        <f>Source!AT166</f>
        <v>66</v>
      </c>
      <c r="K531" s="33">
        <f>SUM(T526:T533)</f>
        <v>498</v>
      </c>
      <c r="L531" s="34"/>
    </row>
    <row r="532" spans="1:26" ht="14.4">
      <c r="A532" s="27"/>
      <c r="B532" s="28"/>
      <c r="C532" s="25" t="s">
        <v>966</v>
      </c>
      <c r="D532" s="30" t="s">
        <v>965</v>
      </c>
      <c r="E532" s="10">
        <f>Source!CA166</f>
        <v>55</v>
      </c>
      <c r="F532" s="92" t="str">
        <f>CONCATENATE(" )", Source!DM166, Source!FU166, "=", Source!FY166)</f>
        <v xml:space="preserve"> )*0,85*0,9=42,075</v>
      </c>
      <c r="G532" s="90"/>
      <c r="H532" s="33">
        <f>SUM(U526:U533)</f>
        <v>15</v>
      </c>
      <c r="I532" s="35"/>
      <c r="J532" s="25">
        <f>Source!AU166</f>
        <v>42</v>
      </c>
      <c r="K532" s="33">
        <f>SUM(V526:V533)</f>
        <v>317</v>
      </c>
      <c r="L532" s="34"/>
    </row>
    <row r="533" spans="1:26" ht="14.4">
      <c r="A533" s="39"/>
      <c r="B533" s="40"/>
      <c r="C533" s="41" t="s">
        <v>967</v>
      </c>
      <c r="D533" s="42" t="s">
        <v>968</v>
      </c>
      <c r="E533" s="43">
        <f>Source!AQ166</f>
        <v>92.73</v>
      </c>
      <c r="F533" s="44"/>
      <c r="G533" s="45" t="str">
        <f>Source!DI166</f>
        <v>)*1,15</v>
      </c>
      <c r="H533" s="46"/>
      <c r="I533" s="45"/>
      <c r="J533" s="45"/>
      <c r="K533" s="46"/>
      <c r="L533" s="47">
        <f>Source!U166</f>
        <v>4.2655799999999999</v>
      </c>
    </row>
    <row r="534" spans="1:26" ht="13.8">
      <c r="G534" s="93">
        <f>ROUND(Source!AC166*Source!I166, 0)+ROUND(Source!AF166*Source!I166, 0)+ROUND(Source!AD166*Source!I166, 0)+SUM(H531:H532)</f>
        <v>102</v>
      </c>
      <c r="H534" s="93"/>
      <c r="J534" s="93">
        <f>Source!O166+SUM(K531:K532)</f>
        <v>1674</v>
      </c>
      <c r="K534" s="93"/>
      <c r="L534" s="38">
        <f>Source!U166</f>
        <v>4.2655799999999999</v>
      </c>
      <c r="O534" s="37">
        <f>G534</f>
        <v>102</v>
      </c>
      <c r="P534" s="37">
        <f>J534</f>
        <v>1674</v>
      </c>
      <c r="Q534" s="48">
        <f>L534</f>
        <v>4.2655799999999999</v>
      </c>
      <c r="W534">
        <f>IF(Source!BI166&lt;=1,G534, 0)</f>
        <v>102</v>
      </c>
      <c r="X534">
        <f>IF(Source!BI166=2,G534, 0)</f>
        <v>0</v>
      </c>
      <c r="Y534">
        <f>IF(Source!BI166=3,G534, 0)</f>
        <v>0</v>
      </c>
      <c r="Z534">
        <f>IF(Source!BI166=4,G534, 0)</f>
        <v>0</v>
      </c>
    </row>
    <row r="535" spans="1:26" ht="28.8">
      <c r="A535" s="27" t="str">
        <f>Source!E167</f>
        <v>64</v>
      </c>
      <c r="B535" s="28" t="str">
        <f>Source!F167</f>
        <v>65-4-1</v>
      </c>
      <c r="C535" s="25" t="str">
        <f>Source!G167</f>
        <v>Демонтаж умывальников и раковин</v>
      </c>
      <c r="D535" s="30" t="str">
        <f>Source!H167</f>
        <v>100 приборов</v>
      </c>
      <c r="E535" s="10">
        <f>Source!I167</f>
        <v>0.01</v>
      </c>
      <c r="F535" s="32">
        <f>IF(Source!AK167&lt;&gt; 0, Source!AK167,Source!AL167 + Source!AM167 + Source!AO167)</f>
        <v>417.2</v>
      </c>
      <c r="G535" s="31"/>
      <c r="H535" s="33"/>
      <c r="I535" s="31" t="str">
        <f>Source!BO167</f>
        <v>65-4-1</v>
      </c>
      <c r="J535" s="31"/>
      <c r="K535" s="33"/>
      <c r="L535" s="34"/>
      <c r="S535">
        <f>ROUND((Source!FX167/100)*((ROUND(Source!AF167*Source!I167, 0)+ROUND(Source!AE167*Source!I167, 0))), 0)</f>
        <v>2</v>
      </c>
      <c r="T535">
        <f>Source!X167</f>
        <v>45</v>
      </c>
      <c r="U535">
        <f>ROUND((Source!FY167/100)*((ROUND(Source!AF167*Source!I167, 0)+ROUND(Source!AE167*Source!I167, 0))), 0)</f>
        <v>2</v>
      </c>
      <c r="V535">
        <f>Source!Y167</f>
        <v>39</v>
      </c>
    </row>
    <row r="536" spans="1:26">
      <c r="C536" s="49" t="str">
        <f>"Объем: "&amp;Source!I167&amp;"=1/"&amp;"100"</f>
        <v>Объем: 0,01=1/100</v>
      </c>
    </row>
    <row r="537" spans="1:26" ht="14.4">
      <c r="A537" s="27"/>
      <c r="B537" s="28"/>
      <c r="C537" s="25" t="s">
        <v>962</v>
      </c>
      <c r="D537" s="30"/>
      <c r="E537" s="10"/>
      <c r="F537" s="32">
        <f>Source!AO167</f>
        <v>408.86</v>
      </c>
      <c r="G537" s="31" t="str">
        <f>Source!DG167</f>
        <v/>
      </c>
      <c r="H537" s="33">
        <f>ROUND(Source!AF167*Source!I167, 0)</f>
        <v>4</v>
      </c>
      <c r="I537" s="31"/>
      <c r="J537" s="31">
        <f>IF(Source!BA167&lt;&gt; 0, Source!BA167, 1)</f>
        <v>20.88</v>
      </c>
      <c r="K537" s="33">
        <f>Source!S167</f>
        <v>85</v>
      </c>
      <c r="L537" s="34"/>
      <c r="R537">
        <f>H537</f>
        <v>4</v>
      </c>
    </row>
    <row r="538" spans="1:26" ht="14.4">
      <c r="A538" s="27"/>
      <c r="B538" s="28"/>
      <c r="C538" s="25" t="s">
        <v>125</v>
      </c>
      <c r="D538" s="30"/>
      <c r="E538" s="10"/>
      <c r="F538" s="32">
        <f>Source!AM167</f>
        <v>8.34</v>
      </c>
      <c r="G538" s="31" t="str">
        <f>Source!DE167</f>
        <v/>
      </c>
      <c r="H538" s="33">
        <f>ROUND(Source!AD167*Source!I167, 0)</f>
        <v>0</v>
      </c>
      <c r="I538" s="31"/>
      <c r="J538" s="31">
        <f>IF(Source!BB167&lt;&gt; 0, Source!BB167, 1)</f>
        <v>10.220000000000001</v>
      </c>
      <c r="K538" s="33">
        <f>Source!Q167</f>
        <v>1</v>
      </c>
      <c r="L538" s="34"/>
    </row>
    <row r="539" spans="1:26" ht="14.4">
      <c r="A539" s="27"/>
      <c r="B539" s="28"/>
      <c r="C539" s="25" t="s">
        <v>963</v>
      </c>
      <c r="D539" s="30"/>
      <c r="E539" s="10"/>
      <c r="F539" s="32">
        <f>Source!AN167</f>
        <v>3.15</v>
      </c>
      <c r="G539" s="31" t="str">
        <f>Source!DF167</f>
        <v/>
      </c>
      <c r="H539" s="33">
        <f>ROUND(Source!AE167*Source!I167, 0)</f>
        <v>0</v>
      </c>
      <c r="I539" s="31"/>
      <c r="J539" s="31">
        <f>IF(Source!BS167&lt;&gt; 0, Source!BS167, 1)</f>
        <v>20.88</v>
      </c>
      <c r="K539" s="33">
        <f>Source!R167</f>
        <v>1</v>
      </c>
      <c r="L539" s="34"/>
      <c r="R539">
        <f>H539</f>
        <v>0</v>
      </c>
    </row>
    <row r="540" spans="1:26" ht="14.4">
      <c r="A540" s="27"/>
      <c r="B540" s="28"/>
      <c r="C540" s="25" t="s">
        <v>964</v>
      </c>
      <c r="D540" s="30" t="s">
        <v>965</v>
      </c>
      <c r="E540" s="10">
        <f>Source!BZ167</f>
        <v>74</v>
      </c>
      <c r="F540" s="92" t="str">
        <f>CONCATENATE(" )", Source!DL167, Source!FT167, "=", Source!FX167)</f>
        <v xml:space="preserve"> )*0,7=51,8</v>
      </c>
      <c r="G540" s="90"/>
      <c r="H540" s="33">
        <f>SUM(S535:S542)</f>
        <v>2</v>
      </c>
      <c r="I540" s="35"/>
      <c r="J540" s="25">
        <f>Source!AT167</f>
        <v>52</v>
      </c>
      <c r="K540" s="33">
        <f>SUM(T535:T542)</f>
        <v>45</v>
      </c>
      <c r="L540" s="34"/>
    </row>
    <row r="541" spans="1:26" ht="14.4">
      <c r="A541" s="27"/>
      <c r="B541" s="28"/>
      <c r="C541" s="25" t="s">
        <v>966</v>
      </c>
      <c r="D541" s="30" t="s">
        <v>965</v>
      </c>
      <c r="E541" s="10">
        <f>Source!CA167</f>
        <v>50</v>
      </c>
      <c r="F541" s="92" t="str">
        <f>CONCATENATE(" )", Source!DM167, Source!FU167, "=", Source!FY167)</f>
        <v xml:space="preserve"> )*0,9=45</v>
      </c>
      <c r="G541" s="90"/>
      <c r="H541" s="33">
        <f>SUM(U535:U542)</f>
        <v>2</v>
      </c>
      <c r="I541" s="35"/>
      <c r="J541" s="25">
        <f>Source!AU167</f>
        <v>45</v>
      </c>
      <c r="K541" s="33">
        <f>SUM(V535:V542)</f>
        <v>39</v>
      </c>
      <c r="L541" s="34"/>
    </row>
    <row r="542" spans="1:26" ht="14.4">
      <c r="A542" s="39"/>
      <c r="B542" s="40"/>
      <c r="C542" s="41" t="s">
        <v>967</v>
      </c>
      <c r="D542" s="42" t="s">
        <v>968</v>
      </c>
      <c r="E542" s="43">
        <f>Source!AQ167</f>
        <v>51.3</v>
      </c>
      <c r="F542" s="44"/>
      <c r="G542" s="45" t="str">
        <f>Source!DI167</f>
        <v/>
      </c>
      <c r="H542" s="46"/>
      <c r="I542" s="45"/>
      <c r="J542" s="45"/>
      <c r="K542" s="46"/>
      <c r="L542" s="47">
        <f>Source!U167</f>
        <v>0.51300000000000001</v>
      </c>
    </row>
    <row r="543" spans="1:26" ht="13.8">
      <c r="G543" s="93">
        <f>ROUND(Source!AC167*Source!I167, 0)+ROUND(Source!AF167*Source!I167, 0)+ROUND(Source!AD167*Source!I167, 0)+SUM(H540:H541)</f>
        <v>8</v>
      </c>
      <c r="H543" s="93"/>
      <c r="J543" s="93">
        <f>Source!O167+SUM(K540:K541)</f>
        <v>170</v>
      </c>
      <c r="K543" s="93"/>
      <c r="L543" s="38">
        <f>Source!U167</f>
        <v>0.51300000000000001</v>
      </c>
      <c r="O543" s="37">
        <f>G543</f>
        <v>8</v>
      </c>
      <c r="P543" s="37">
        <f>J543</f>
        <v>170</v>
      </c>
      <c r="Q543" s="48">
        <f>L543</f>
        <v>0.51300000000000001</v>
      </c>
      <c r="W543">
        <f>IF(Source!BI167&lt;=1,G543, 0)</f>
        <v>8</v>
      </c>
      <c r="X543">
        <f>IF(Source!BI167=2,G543, 0)</f>
        <v>0</v>
      </c>
      <c r="Y543">
        <f>IF(Source!BI167=3,G543, 0)</f>
        <v>0</v>
      </c>
      <c r="Z543">
        <f>IF(Source!BI167=4,G543, 0)</f>
        <v>0</v>
      </c>
    </row>
    <row r="544" spans="1:26" ht="28.2">
      <c r="A544" s="27" t="str">
        <f>Source!E168</f>
        <v>65</v>
      </c>
      <c r="B544" s="28" t="str">
        <f>Source!F168</f>
        <v>17-01-001-14</v>
      </c>
      <c r="C544" s="25" t="str">
        <f>Source!G168</f>
        <v>Установка умывальников одиночных с подводкой холодной и горячей воды</v>
      </c>
      <c r="D544" s="30" t="str">
        <f>Source!H168</f>
        <v>10 компл.</v>
      </c>
      <c r="E544" s="10">
        <f>Source!I168</f>
        <v>0.1</v>
      </c>
      <c r="F544" s="32">
        <f>IF(Source!AK168&lt;&gt; 0, Source!AK168,Source!AL168 + Source!AM168 + Source!AO168)</f>
        <v>2676.2</v>
      </c>
      <c r="G544" s="31"/>
      <c r="H544" s="33"/>
      <c r="I544" s="31" t="str">
        <f>Source!BO168</f>
        <v>17-01-001-14</v>
      </c>
      <c r="J544" s="31"/>
      <c r="K544" s="33"/>
      <c r="L544" s="34"/>
      <c r="S544">
        <f>ROUND((Source!FX168/100)*((ROUND(Source!AF168*Source!I168, 0)+ROUND(Source!AE168*Source!I168, 0))), 0)</f>
        <v>18</v>
      </c>
      <c r="T544">
        <f>Source!X168</f>
        <v>382</v>
      </c>
      <c r="U544">
        <f>ROUND((Source!FY168/100)*((ROUND(Source!AF168*Source!I168, 0)+ROUND(Source!AE168*Source!I168, 0))), 0)</f>
        <v>14</v>
      </c>
      <c r="V544">
        <f>Source!Y168</f>
        <v>297</v>
      </c>
    </row>
    <row r="545" spans="1:26">
      <c r="C545" s="49" t="str">
        <f>"Объем: "&amp;Source!I168&amp;"=1/"&amp;"10"</f>
        <v>Объем: 0,1=1/10</v>
      </c>
    </row>
    <row r="546" spans="1:26" ht="14.4">
      <c r="A546" s="27"/>
      <c r="B546" s="28"/>
      <c r="C546" s="25" t="s">
        <v>962</v>
      </c>
      <c r="D546" s="30"/>
      <c r="E546" s="10"/>
      <c r="F546" s="32">
        <f>Source!AO168</f>
        <v>194.63</v>
      </c>
      <c r="G546" s="31" t="str">
        <f>Source!DG168</f>
        <v>)*1,15</v>
      </c>
      <c r="H546" s="33">
        <f>ROUND(Source!AF168*Source!I168, 0)</f>
        <v>22</v>
      </c>
      <c r="I546" s="31"/>
      <c r="J546" s="31">
        <f>IF(Source!BA168&lt;&gt; 0, Source!BA168, 1)</f>
        <v>20.88</v>
      </c>
      <c r="K546" s="33">
        <f>Source!S168</f>
        <v>467</v>
      </c>
      <c r="L546" s="34"/>
      <c r="R546">
        <f>H546</f>
        <v>22</v>
      </c>
    </row>
    <row r="547" spans="1:26" ht="14.4">
      <c r="A547" s="27"/>
      <c r="B547" s="28"/>
      <c r="C547" s="25" t="s">
        <v>125</v>
      </c>
      <c r="D547" s="30"/>
      <c r="E547" s="10"/>
      <c r="F547" s="32">
        <f>Source!AM168</f>
        <v>24.79</v>
      </c>
      <c r="G547" s="31" t="str">
        <f>Source!DE168</f>
        <v>)*1,25</v>
      </c>
      <c r="H547" s="33">
        <f>ROUND(Source!AD168*Source!I168, 0)</f>
        <v>3</v>
      </c>
      <c r="I547" s="31"/>
      <c r="J547" s="31">
        <f>IF(Source!BB168&lt;&gt; 0, Source!BB168, 1)</f>
        <v>9.2899999999999991</v>
      </c>
      <c r="K547" s="33">
        <f>Source!Q168</f>
        <v>29</v>
      </c>
      <c r="L547" s="34"/>
    </row>
    <row r="548" spans="1:26" ht="14.4">
      <c r="A548" s="27"/>
      <c r="B548" s="28"/>
      <c r="C548" s="25" t="s">
        <v>963</v>
      </c>
      <c r="D548" s="30"/>
      <c r="E548" s="10"/>
      <c r="F548" s="32">
        <f>Source!AN168</f>
        <v>1.57</v>
      </c>
      <c r="G548" s="31" t="str">
        <f>Source!DF168</f>
        <v>)*1,25</v>
      </c>
      <c r="H548" s="33">
        <f>ROUND(Source!AE168*Source!I168, 0)</f>
        <v>0</v>
      </c>
      <c r="I548" s="31"/>
      <c r="J548" s="31">
        <f>IF(Source!BS168&lt;&gt; 0, Source!BS168, 1)</f>
        <v>20.88</v>
      </c>
      <c r="K548" s="33">
        <f>Source!R168</f>
        <v>4</v>
      </c>
      <c r="L548" s="34"/>
      <c r="R548">
        <f>H548</f>
        <v>0</v>
      </c>
    </row>
    <row r="549" spans="1:26" ht="14.4">
      <c r="A549" s="27"/>
      <c r="B549" s="28"/>
      <c r="C549" s="25" t="s">
        <v>964</v>
      </c>
      <c r="D549" s="30" t="s">
        <v>965</v>
      </c>
      <c r="E549" s="10">
        <f>Source!BZ168</f>
        <v>128</v>
      </c>
      <c r="F549" s="92" t="str">
        <f>CONCATENATE(" )", Source!DL168, Source!FT168, "=", Source!FX168)</f>
        <v xml:space="preserve"> )*0,9*0,7=80,64</v>
      </c>
      <c r="G549" s="90"/>
      <c r="H549" s="33">
        <f>SUM(S544:S551)</f>
        <v>18</v>
      </c>
      <c r="I549" s="35"/>
      <c r="J549" s="25">
        <f>Source!AT168</f>
        <v>81</v>
      </c>
      <c r="K549" s="33">
        <f>SUM(T544:T551)</f>
        <v>382</v>
      </c>
      <c r="L549" s="34"/>
    </row>
    <row r="550" spans="1:26" ht="14.4">
      <c r="A550" s="27"/>
      <c r="B550" s="28"/>
      <c r="C550" s="25" t="s">
        <v>966</v>
      </c>
      <c r="D550" s="30" t="s">
        <v>965</v>
      </c>
      <c r="E550" s="10">
        <f>Source!CA168</f>
        <v>83</v>
      </c>
      <c r="F550" s="92" t="str">
        <f>CONCATENATE(" )", Source!DM168, Source!FU168, "=", Source!FY168)</f>
        <v xml:space="preserve"> )*0,85*0,9=63,495</v>
      </c>
      <c r="G550" s="90"/>
      <c r="H550" s="33">
        <f>SUM(U544:U551)</f>
        <v>14</v>
      </c>
      <c r="I550" s="35"/>
      <c r="J550" s="25">
        <f>Source!AU168</f>
        <v>63</v>
      </c>
      <c r="K550" s="33">
        <f>SUM(V544:V551)</f>
        <v>297</v>
      </c>
      <c r="L550" s="34"/>
    </row>
    <row r="551" spans="1:26" ht="14.4">
      <c r="A551" s="39"/>
      <c r="B551" s="40"/>
      <c r="C551" s="41" t="s">
        <v>967</v>
      </c>
      <c r="D551" s="42" t="s">
        <v>968</v>
      </c>
      <c r="E551" s="43">
        <f>Source!AQ168</f>
        <v>21.65</v>
      </c>
      <c r="F551" s="44"/>
      <c r="G551" s="45" t="str">
        <f>Source!DI168</f>
        <v>)*1,15</v>
      </c>
      <c r="H551" s="46"/>
      <c r="I551" s="45"/>
      <c r="J551" s="45"/>
      <c r="K551" s="46"/>
      <c r="L551" s="47">
        <f>Source!U168</f>
        <v>2.4897499999999999</v>
      </c>
    </row>
    <row r="552" spans="1:26" ht="13.8">
      <c r="G552" s="93">
        <f>ROUND(Source!AC168*Source!I168, 0)+ROUND(Source!AF168*Source!I168, 0)+ROUND(Source!AD168*Source!I168, 0)+SUM(H549:H550)</f>
        <v>57</v>
      </c>
      <c r="H552" s="93"/>
      <c r="J552" s="93">
        <f>Source!O168+SUM(K549:K550)</f>
        <v>1175</v>
      </c>
      <c r="K552" s="93"/>
      <c r="L552" s="38">
        <f>Source!U168</f>
        <v>2.4897499999999999</v>
      </c>
      <c r="O552" s="37">
        <f>G552</f>
        <v>57</v>
      </c>
      <c r="P552" s="37">
        <f>J552</f>
        <v>1175</v>
      </c>
      <c r="Q552" s="48">
        <f>L552</f>
        <v>2.4897499999999999</v>
      </c>
      <c r="W552">
        <f>IF(Source!BI168&lt;=1,G552, 0)</f>
        <v>57</v>
      </c>
      <c r="X552">
        <f>IF(Source!BI168=2,G552, 0)</f>
        <v>0</v>
      </c>
      <c r="Y552">
        <f>IF(Source!BI168=3,G552, 0)</f>
        <v>0</v>
      </c>
      <c r="Z552">
        <f>IF(Source!BI168=4,G552, 0)</f>
        <v>0</v>
      </c>
    </row>
    <row r="553" spans="1:26" ht="28.8">
      <c r="A553" s="27" t="str">
        <f>Source!E169</f>
        <v>66</v>
      </c>
      <c r="B553" s="28" t="str">
        <f>Source!F169</f>
        <v>09-04-013-2</v>
      </c>
      <c r="C553" s="25" t="str">
        <f>Source!G169</f>
        <v>Установка противопожарных дверей двупольных глухих</v>
      </c>
      <c r="D553" s="30" t="str">
        <f>Source!H169</f>
        <v>1 м2 проема</v>
      </c>
      <c r="E553" s="10">
        <f>Source!I169</f>
        <v>2.67</v>
      </c>
      <c r="F553" s="32">
        <f>IF(Source!AK169&lt;&gt; 0, Source!AK169,Source!AL169 + Source!AM169 + Source!AO169)</f>
        <v>88.88</v>
      </c>
      <c r="G553" s="31"/>
      <c r="H553" s="33"/>
      <c r="I553" s="31" t="str">
        <f>Source!BO169</f>
        <v>09-04-013-2</v>
      </c>
      <c r="J553" s="31"/>
      <c r="K553" s="33"/>
      <c r="L553" s="34"/>
      <c r="S553">
        <f>ROUND((Source!FX169/100)*((ROUND(Source!AF169*Source!I169, 0)+ROUND(Source!AE169*Source!I169, 0))), 0)</f>
        <v>45</v>
      </c>
      <c r="T553">
        <f>Source!X169</f>
        <v>955</v>
      </c>
      <c r="U553">
        <f>ROUND((Source!FY169/100)*((ROUND(Source!AF169*Source!I169, 0)+ROUND(Source!AE169*Source!I169, 0))), 0)</f>
        <v>52</v>
      </c>
      <c r="V553">
        <f>Source!Y169</f>
        <v>1089</v>
      </c>
    </row>
    <row r="554" spans="1:26" ht="14.4">
      <c r="A554" s="27"/>
      <c r="B554" s="28"/>
      <c r="C554" s="25" t="s">
        <v>962</v>
      </c>
      <c r="D554" s="30"/>
      <c r="E554" s="10"/>
      <c r="F554" s="32">
        <f>Source!AO169</f>
        <v>26.13</v>
      </c>
      <c r="G554" s="31" t="str">
        <f>Source!DG169</f>
        <v>)*1,15</v>
      </c>
      <c r="H554" s="33">
        <f>ROUND(Source!AF169*Source!I169, 0)</f>
        <v>80</v>
      </c>
      <c r="I554" s="31"/>
      <c r="J554" s="31">
        <f>IF(Source!BA169&lt;&gt; 0, Source!BA169, 1)</f>
        <v>20.88</v>
      </c>
      <c r="K554" s="33">
        <f>Source!S169</f>
        <v>1675</v>
      </c>
      <c r="L554" s="34"/>
      <c r="R554">
        <f>H554</f>
        <v>80</v>
      </c>
    </row>
    <row r="555" spans="1:26" ht="14.4">
      <c r="A555" s="27"/>
      <c r="B555" s="28"/>
      <c r="C555" s="25" t="s">
        <v>125</v>
      </c>
      <c r="D555" s="30"/>
      <c r="E555" s="10"/>
      <c r="F555" s="32">
        <f>Source!AM169</f>
        <v>10.53</v>
      </c>
      <c r="G555" s="31" t="str">
        <f>Source!DE169</f>
        <v>)*1,25</v>
      </c>
      <c r="H555" s="33">
        <f>ROUND(Source!AD169*Source!I169, 0)</f>
        <v>35</v>
      </c>
      <c r="I555" s="31"/>
      <c r="J555" s="31">
        <f>IF(Source!BB169&lt;&gt; 0, Source!BB169, 1)</f>
        <v>6.28</v>
      </c>
      <c r="K555" s="33">
        <f>Source!Q169</f>
        <v>221</v>
      </c>
      <c r="L555" s="34"/>
    </row>
    <row r="556" spans="1:26" ht="14.4">
      <c r="A556" s="27"/>
      <c r="B556" s="28"/>
      <c r="C556" s="25" t="s">
        <v>969</v>
      </c>
      <c r="D556" s="30"/>
      <c r="E556" s="10"/>
      <c r="F556" s="32">
        <f>Source!AL169</f>
        <v>52.22</v>
      </c>
      <c r="G556" s="31" t="str">
        <f>Source!DD169</f>
        <v/>
      </c>
      <c r="H556" s="33">
        <f>ROUND(Source!AC169*Source!I169, 0)</f>
        <v>139</v>
      </c>
      <c r="I556" s="31"/>
      <c r="J556" s="31">
        <f>IF(Source!BC169&lt;&gt; 0, Source!BC169, 1)</f>
        <v>5.84</v>
      </c>
      <c r="K556" s="33">
        <f>Source!P169</f>
        <v>814</v>
      </c>
      <c r="L556" s="34"/>
    </row>
    <row r="557" spans="1:26" ht="14.4">
      <c r="A557" s="27"/>
      <c r="B557" s="28"/>
      <c r="C557" s="25" t="s">
        <v>964</v>
      </c>
      <c r="D557" s="30" t="s">
        <v>965</v>
      </c>
      <c r="E557" s="10">
        <f>Source!BZ169</f>
        <v>90</v>
      </c>
      <c r="F557" s="92" t="str">
        <f>CONCATENATE(" )", Source!DL169, Source!FT169, "=", Source!FX169)</f>
        <v xml:space="preserve"> )*0,9*0,7=56,7</v>
      </c>
      <c r="G557" s="90"/>
      <c r="H557" s="33">
        <f>SUM(S553:S559)</f>
        <v>45</v>
      </c>
      <c r="I557" s="35"/>
      <c r="J557" s="25">
        <f>Source!AT169</f>
        <v>57</v>
      </c>
      <c r="K557" s="33">
        <f>SUM(T553:T559)</f>
        <v>955</v>
      </c>
      <c r="L557" s="34"/>
    </row>
    <row r="558" spans="1:26" ht="14.4">
      <c r="A558" s="27"/>
      <c r="B558" s="28"/>
      <c r="C558" s="25" t="s">
        <v>966</v>
      </c>
      <c r="D558" s="30" t="s">
        <v>965</v>
      </c>
      <c r="E558" s="10">
        <f>Source!CA169</f>
        <v>85</v>
      </c>
      <c r="F558" s="92" t="str">
        <f>CONCATENATE(" )", Source!DM169, Source!FU169, "=", Source!FY169)</f>
        <v xml:space="preserve"> )*0,85*0,9=65,025</v>
      </c>
      <c r="G558" s="90"/>
      <c r="H558" s="33">
        <f>SUM(U553:U559)</f>
        <v>52</v>
      </c>
      <c r="I558" s="35"/>
      <c r="J558" s="25">
        <f>Source!AU169</f>
        <v>65</v>
      </c>
      <c r="K558" s="33">
        <f>SUM(V553:V559)</f>
        <v>1089</v>
      </c>
      <c r="L558" s="34"/>
    </row>
    <row r="559" spans="1:26" ht="14.4">
      <c r="A559" s="39"/>
      <c r="B559" s="40"/>
      <c r="C559" s="41" t="s">
        <v>967</v>
      </c>
      <c r="D559" s="42" t="s">
        <v>968</v>
      </c>
      <c r="E559" s="43">
        <f>Source!AQ169</f>
        <v>2.78</v>
      </c>
      <c r="F559" s="44"/>
      <c r="G559" s="45" t="str">
        <f>Source!DI169</f>
        <v>)*1,15</v>
      </c>
      <c r="H559" s="46"/>
      <c r="I559" s="45"/>
      <c r="J559" s="45"/>
      <c r="K559" s="46"/>
      <c r="L559" s="47">
        <f>Source!U169</f>
        <v>8.5359899999999982</v>
      </c>
    </row>
    <row r="560" spans="1:26" ht="13.8">
      <c r="G560" s="93">
        <f>ROUND(Source!AC169*Source!I169, 0)+ROUND(Source!AF169*Source!I169, 0)+ROUND(Source!AD169*Source!I169, 0)+SUM(H557:H558)</f>
        <v>351</v>
      </c>
      <c r="H560" s="93"/>
      <c r="J560" s="93">
        <f>Source!O169+SUM(K557:K558)</f>
        <v>4754</v>
      </c>
      <c r="K560" s="93"/>
      <c r="L560" s="38">
        <f>Source!U169</f>
        <v>8.5359899999999982</v>
      </c>
      <c r="O560" s="37">
        <f>G560</f>
        <v>351</v>
      </c>
      <c r="P560" s="37">
        <f>J560</f>
        <v>4754</v>
      </c>
      <c r="Q560" s="48">
        <f>L560</f>
        <v>8.5359899999999982</v>
      </c>
      <c r="W560">
        <f>IF(Source!BI169&lt;=1,G560, 0)</f>
        <v>351</v>
      </c>
      <c r="X560">
        <f>IF(Source!BI169=2,G560, 0)</f>
        <v>0</v>
      </c>
      <c r="Y560">
        <f>IF(Source!BI169=3,G560, 0)</f>
        <v>0</v>
      </c>
      <c r="Z560">
        <f>IF(Source!BI169=4,G560, 0)</f>
        <v>0</v>
      </c>
    </row>
    <row r="561" spans="1:32" ht="42">
      <c r="A561" s="27" t="str">
        <f>Source!E170</f>
        <v>67</v>
      </c>
      <c r="B561" s="28" t="str">
        <f>Source!F170</f>
        <v>203-8126</v>
      </c>
      <c r="C561" s="25" t="str">
        <f>Source!G170</f>
        <v>Дверь противопожарная металлическая двупольная ДПМ-02/30, размером 1300х2100 мм</v>
      </c>
      <c r="D561" s="30" t="str">
        <f>Source!H170</f>
        <v>шт.</v>
      </c>
      <c r="E561" s="10">
        <f>Source!I170</f>
        <v>1</v>
      </c>
      <c r="F561" s="32">
        <f>IF(Source!AK170&lt;&gt; 0, Source!AK170,Source!AL170 + Source!AM170 + Source!AO170)</f>
        <v>4600.2299999999996</v>
      </c>
      <c r="G561" s="31"/>
      <c r="H561" s="33"/>
      <c r="I561" s="31" t="str">
        <f>Source!BO170</f>
        <v>203-8126</v>
      </c>
      <c r="J561" s="31"/>
      <c r="K561" s="33"/>
      <c r="L561" s="34"/>
      <c r="S561">
        <f>ROUND((Source!FX170/100)*((ROUND(Source!AF170*Source!I170, 0)+ROUND(Source!AE170*Source!I170, 0))), 0)</f>
        <v>0</v>
      </c>
      <c r="T561">
        <f>Source!X170</f>
        <v>0</v>
      </c>
      <c r="U561">
        <f>ROUND((Source!FY170/100)*((ROUND(Source!AF170*Source!I170, 0)+ROUND(Source!AE170*Source!I170, 0))), 0)</f>
        <v>0</v>
      </c>
      <c r="V561">
        <f>Source!Y170</f>
        <v>0</v>
      </c>
    </row>
    <row r="562" spans="1:32" ht="14.4">
      <c r="A562" s="39"/>
      <c r="B562" s="40"/>
      <c r="C562" s="41" t="s">
        <v>969</v>
      </c>
      <c r="D562" s="42"/>
      <c r="E562" s="43"/>
      <c r="F562" s="44">
        <f>Source!AL170</f>
        <v>4600.2299999999996</v>
      </c>
      <c r="G562" s="45" t="str">
        <f>Source!DD170</f>
        <v/>
      </c>
      <c r="H562" s="46">
        <f>ROUND(Source!AC170*Source!I170, 0)</f>
        <v>4600</v>
      </c>
      <c r="I562" s="45"/>
      <c r="J562" s="45">
        <f>IF(Source!BC170&lt;&gt; 0, Source!BC170, 1)</f>
        <v>3.71</v>
      </c>
      <c r="K562" s="46">
        <f>Source!P170</f>
        <v>17067</v>
      </c>
      <c r="L562" s="52"/>
    </row>
    <row r="563" spans="1:32" ht="13.8">
      <c r="G563" s="93">
        <f>ROUND(Source!AC170*Source!I170, 0)+ROUND(Source!AF170*Source!I170, 0)+ROUND(Source!AD170*Source!I170, 0)</f>
        <v>4600</v>
      </c>
      <c r="H563" s="93"/>
      <c r="J563" s="93">
        <f>Source!O170</f>
        <v>17067</v>
      </c>
      <c r="K563" s="93"/>
      <c r="L563" s="38">
        <f>Source!U170</f>
        <v>0</v>
      </c>
      <c r="O563" s="37">
        <f>G563</f>
        <v>4600</v>
      </c>
      <c r="P563" s="37">
        <f>J563</f>
        <v>17067</v>
      </c>
      <c r="Q563" s="48">
        <f>L563</f>
        <v>0</v>
      </c>
      <c r="W563">
        <f>IF(Source!BI170&lt;=1,G563, 0)</f>
        <v>4600</v>
      </c>
      <c r="X563">
        <f>IF(Source!BI170=2,G563, 0)</f>
        <v>0</v>
      </c>
      <c r="Y563">
        <f>IF(Source!BI170=3,G563, 0)</f>
        <v>0</v>
      </c>
      <c r="Z563">
        <f>IF(Source!BI170=4,G563, 0)</f>
        <v>0</v>
      </c>
    </row>
    <row r="564" spans="1:32" ht="14.4">
      <c r="C564" s="98" t="str">
        <f>Source!G171</f>
        <v>Ремонт запасного входа</v>
      </c>
      <c r="D564" s="98"/>
      <c r="E564" s="98"/>
      <c r="F564" s="98"/>
      <c r="G564" s="98"/>
      <c r="H564" s="98"/>
      <c r="I564" s="98"/>
      <c r="J564" s="98"/>
      <c r="K564" s="98"/>
      <c r="L564" s="98"/>
      <c r="AF564" s="29" t="str">
        <f>Source!G171</f>
        <v>Ремонт запасного входа</v>
      </c>
    </row>
    <row r="565" spans="1:32" ht="28.2">
      <c r="A565" s="27" t="str">
        <f>Source!E172</f>
        <v>68</v>
      </c>
      <c r="B565" s="28" t="str">
        <f>Source!F172</f>
        <v>46-04-012-3</v>
      </c>
      <c r="C565" s="25" t="str">
        <f>Source!G172</f>
        <v>Разборка деревянных заполнений проемов дверных и воротных</v>
      </c>
      <c r="D565" s="30" t="str">
        <f>Source!H172</f>
        <v>100 м2</v>
      </c>
      <c r="E565" s="10">
        <f>Source!I172</f>
        <v>1.47E-2</v>
      </c>
      <c r="F565" s="32">
        <f>IF(Source!AK172&lt;&gt; 0, Source!AK172,Source!AL172 + Source!AM172 + Source!AO172)</f>
        <v>1033.94</v>
      </c>
      <c r="G565" s="31"/>
      <c r="H565" s="33"/>
      <c r="I565" s="31" t="str">
        <f>Source!BO172</f>
        <v>46-04-012-3</v>
      </c>
      <c r="J565" s="31"/>
      <c r="K565" s="33"/>
      <c r="L565" s="34"/>
      <c r="S565">
        <f>ROUND((Source!FX172/100)*((ROUND(Source!AF172*Source!I172, 0)+ROUND(Source!AE172*Source!I172, 0))), 0)</f>
        <v>9</v>
      </c>
      <c r="T565">
        <f>Source!X172</f>
        <v>186</v>
      </c>
      <c r="U565">
        <f>ROUND((Source!FY172/100)*((ROUND(Source!AF172*Source!I172, 0)+ROUND(Source!AE172*Source!I172, 0))), 0)</f>
        <v>7</v>
      </c>
      <c r="V565">
        <f>Source!Y172</f>
        <v>146</v>
      </c>
    </row>
    <row r="566" spans="1:32">
      <c r="C566" s="49" t="str">
        <f>"Объем: "&amp;Source!I172&amp;"=1,47/"&amp;"100"</f>
        <v>Объем: 0,0147=1,47/100</v>
      </c>
    </row>
    <row r="567" spans="1:32" ht="14.4">
      <c r="A567" s="27"/>
      <c r="B567" s="28"/>
      <c r="C567" s="25" t="s">
        <v>962</v>
      </c>
      <c r="D567" s="30"/>
      <c r="E567" s="10"/>
      <c r="F567" s="32">
        <f>Source!AO172</f>
        <v>785.56</v>
      </c>
      <c r="G567" s="31" t="str">
        <f>Source!DG172</f>
        <v/>
      </c>
      <c r="H567" s="33">
        <f>ROUND(Source!AF172*Source!I172, 0)</f>
        <v>12</v>
      </c>
      <c r="I567" s="31"/>
      <c r="J567" s="31">
        <f>IF(Source!BA172&lt;&gt; 0, Source!BA172, 1)</f>
        <v>20.88</v>
      </c>
      <c r="K567" s="33">
        <f>Source!S172</f>
        <v>241</v>
      </c>
      <c r="L567" s="34"/>
      <c r="R567">
        <f>H567</f>
        <v>12</v>
      </c>
    </row>
    <row r="568" spans="1:32" ht="14.4">
      <c r="A568" s="27"/>
      <c r="B568" s="28"/>
      <c r="C568" s="25" t="s">
        <v>125</v>
      </c>
      <c r="D568" s="30"/>
      <c r="E568" s="10"/>
      <c r="F568" s="32">
        <f>Source!AM172</f>
        <v>248.38</v>
      </c>
      <c r="G568" s="31" t="str">
        <f>Source!DE172</f>
        <v/>
      </c>
      <c r="H568" s="33">
        <f>ROUND(Source!AD172*Source!I172, 0)</f>
        <v>4</v>
      </c>
      <c r="I568" s="31"/>
      <c r="J568" s="31">
        <f>IF(Source!BB172&lt;&gt; 0, Source!BB172, 1)</f>
        <v>10.210000000000001</v>
      </c>
      <c r="K568" s="33">
        <f>Source!Q172</f>
        <v>37</v>
      </c>
      <c r="L568" s="34"/>
    </row>
    <row r="569" spans="1:32" ht="14.4">
      <c r="A569" s="27"/>
      <c r="B569" s="28"/>
      <c r="C569" s="25" t="s">
        <v>963</v>
      </c>
      <c r="D569" s="30"/>
      <c r="E569" s="10"/>
      <c r="F569" s="32">
        <f>Source!AN172</f>
        <v>93.65</v>
      </c>
      <c r="G569" s="31" t="str">
        <f>Source!DF172</f>
        <v/>
      </c>
      <c r="H569" s="33">
        <f>ROUND(Source!AE172*Source!I172, 0)</f>
        <v>1</v>
      </c>
      <c r="I569" s="31"/>
      <c r="J569" s="31">
        <f>IF(Source!BS172&lt;&gt; 0, Source!BS172, 1)</f>
        <v>20.88</v>
      </c>
      <c r="K569" s="33">
        <f>Source!R172</f>
        <v>29</v>
      </c>
      <c r="L569" s="34"/>
      <c r="R569">
        <f>H569</f>
        <v>1</v>
      </c>
    </row>
    <row r="570" spans="1:32" ht="14.4">
      <c r="A570" s="27"/>
      <c r="B570" s="28"/>
      <c r="C570" s="25" t="s">
        <v>964</v>
      </c>
      <c r="D570" s="30" t="s">
        <v>965</v>
      </c>
      <c r="E570" s="10">
        <f>Source!BZ172</f>
        <v>110</v>
      </c>
      <c r="F570" s="92" t="str">
        <f>CONCATENATE(" )", Source!DL172, Source!FT172, "=", Source!FX172)</f>
        <v xml:space="preserve"> )*0,9*0,7=69,3</v>
      </c>
      <c r="G570" s="90"/>
      <c r="H570" s="33">
        <f>SUM(S565:S572)</f>
        <v>9</v>
      </c>
      <c r="I570" s="35"/>
      <c r="J570" s="25">
        <f>Source!AT172</f>
        <v>69</v>
      </c>
      <c r="K570" s="33">
        <f>SUM(T565:T572)</f>
        <v>186</v>
      </c>
      <c r="L570" s="34"/>
    </row>
    <row r="571" spans="1:32" ht="14.4">
      <c r="A571" s="27"/>
      <c r="B571" s="28"/>
      <c r="C571" s="25" t="s">
        <v>966</v>
      </c>
      <c r="D571" s="30" t="s">
        <v>965</v>
      </c>
      <c r="E571" s="10">
        <f>Source!CA172</f>
        <v>70</v>
      </c>
      <c r="F571" s="92" t="str">
        <f>CONCATENATE(" )", Source!DM172, Source!FU172, "=", Source!FY172)</f>
        <v xml:space="preserve"> )*0,85*0,9=53,55</v>
      </c>
      <c r="G571" s="90"/>
      <c r="H571" s="33">
        <f>SUM(U565:U572)</f>
        <v>7</v>
      </c>
      <c r="I571" s="35"/>
      <c r="J571" s="25">
        <f>Source!AU172</f>
        <v>54</v>
      </c>
      <c r="K571" s="33">
        <f>SUM(V565:V572)</f>
        <v>146</v>
      </c>
      <c r="L571" s="34"/>
    </row>
    <row r="572" spans="1:32" ht="14.4">
      <c r="A572" s="39"/>
      <c r="B572" s="40"/>
      <c r="C572" s="41" t="s">
        <v>967</v>
      </c>
      <c r="D572" s="42" t="s">
        <v>968</v>
      </c>
      <c r="E572" s="43">
        <f>Source!AQ172</f>
        <v>103.91</v>
      </c>
      <c r="F572" s="44"/>
      <c r="G572" s="45" t="str">
        <f>Source!DI172</f>
        <v/>
      </c>
      <c r="H572" s="46"/>
      <c r="I572" s="45"/>
      <c r="J572" s="45"/>
      <c r="K572" s="46"/>
      <c r="L572" s="47">
        <f>Source!U172</f>
        <v>1.527477</v>
      </c>
    </row>
    <row r="573" spans="1:32" ht="13.8">
      <c r="G573" s="93">
        <f>ROUND(Source!AC172*Source!I172, 0)+ROUND(Source!AF172*Source!I172, 0)+ROUND(Source!AD172*Source!I172, 0)+SUM(H570:H571)</f>
        <v>32</v>
      </c>
      <c r="H573" s="93"/>
      <c r="J573" s="93">
        <f>Source!O172+SUM(K570:K571)</f>
        <v>610</v>
      </c>
      <c r="K573" s="93"/>
      <c r="L573" s="38">
        <f>Source!U172</f>
        <v>1.527477</v>
      </c>
      <c r="O573" s="37">
        <f>G573</f>
        <v>32</v>
      </c>
      <c r="P573" s="37">
        <f>J573</f>
        <v>610</v>
      </c>
      <c r="Q573" s="48">
        <f>L573</f>
        <v>1.527477</v>
      </c>
      <c r="W573">
        <f>IF(Source!BI172&lt;=1,G573, 0)</f>
        <v>32</v>
      </c>
      <c r="X573">
        <f>IF(Source!BI172=2,G573, 0)</f>
        <v>0</v>
      </c>
      <c r="Y573">
        <f>IF(Source!BI172=3,G573, 0)</f>
        <v>0</v>
      </c>
      <c r="Z573">
        <f>IF(Source!BI172=4,G573, 0)</f>
        <v>0</v>
      </c>
    </row>
    <row r="574" spans="1:32" ht="43.2">
      <c r="A574" s="27" t="str">
        <f>Source!E173</f>
        <v>69</v>
      </c>
      <c r="B574" s="28" t="str">
        <f>Source!F173</f>
        <v>10-01-039-1</v>
      </c>
      <c r="C574" s="25" t="str">
        <f>Source!G173</f>
        <v>Установка блоков в наружных и внутренних дверных проемах в каменных стенах, площадь проема до 3 м2</v>
      </c>
      <c r="D574" s="30" t="str">
        <f>Source!H173</f>
        <v>100 М2 ПРОЕМОВ</v>
      </c>
      <c r="E574" s="10">
        <f>Source!I173</f>
        <v>3.5700000000000003E-2</v>
      </c>
      <c r="F574" s="32">
        <f>IF(Source!AK173&lt;&gt; 0, Source!AK173,Source!AL173 + Source!AM173 + Source!AO173)</f>
        <v>25859.68</v>
      </c>
      <c r="G574" s="31"/>
      <c r="H574" s="33"/>
      <c r="I574" s="31" t="str">
        <f>Source!BO173</f>
        <v>10-01-039-1</v>
      </c>
      <c r="J574" s="31"/>
      <c r="K574" s="33"/>
      <c r="L574" s="34"/>
      <c r="S574">
        <f>ROUND((Source!FX173/100)*((ROUND(Source!AF173*Source!I173, 0)+ROUND(Source!AE173*Source!I173, 0))), 0)</f>
        <v>32</v>
      </c>
      <c r="T574">
        <f>Source!X173</f>
        <v>662</v>
      </c>
      <c r="U574">
        <f>ROUND((Source!FY173/100)*((ROUND(Source!AF173*Source!I173, 0)+ROUND(Source!AE173*Source!I173, 0))), 0)</f>
        <v>21</v>
      </c>
      <c r="V574">
        <f>Source!Y173</f>
        <v>430</v>
      </c>
    </row>
    <row r="575" spans="1:32">
      <c r="C575" s="49" t="str">
        <f>"Объем: "&amp;Source!I173&amp;"=3,57/"&amp;"100"</f>
        <v>Объем: 0,0357=3,57/100</v>
      </c>
    </row>
    <row r="576" spans="1:32" ht="14.4">
      <c r="A576" s="27"/>
      <c r="B576" s="28"/>
      <c r="C576" s="25" t="s">
        <v>962</v>
      </c>
      <c r="D576" s="30"/>
      <c r="E576" s="10"/>
      <c r="F576" s="32">
        <f>Source!AO173</f>
        <v>894.72</v>
      </c>
      <c r="G576" s="31" t="str">
        <f>Source!DG173</f>
        <v>)*1,15</v>
      </c>
      <c r="H576" s="33">
        <f>ROUND(Source!AF173*Source!I173, 0)</f>
        <v>37</v>
      </c>
      <c r="I576" s="31"/>
      <c r="J576" s="31">
        <f>IF(Source!BA173&lt;&gt; 0, Source!BA173, 1)</f>
        <v>20.88</v>
      </c>
      <c r="K576" s="33">
        <f>Source!S173</f>
        <v>767</v>
      </c>
      <c r="L576" s="34"/>
      <c r="R576">
        <f>H576</f>
        <v>37</v>
      </c>
    </row>
    <row r="577" spans="1:28" ht="14.4">
      <c r="A577" s="27"/>
      <c r="B577" s="28"/>
      <c r="C577" s="25" t="s">
        <v>125</v>
      </c>
      <c r="D577" s="30"/>
      <c r="E577" s="10"/>
      <c r="F577" s="32">
        <f>Source!AM173</f>
        <v>1450.9</v>
      </c>
      <c r="G577" s="31" t="str">
        <f>Source!DE173</f>
        <v>)*1,25</v>
      </c>
      <c r="H577" s="33">
        <f>ROUND(Source!AD173*Source!I173, 0)</f>
        <v>65</v>
      </c>
      <c r="I577" s="31"/>
      <c r="J577" s="31">
        <f>IF(Source!BB173&lt;&gt; 0, Source!BB173, 1)</f>
        <v>7.28</v>
      </c>
      <c r="K577" s="33">
        <f>Source!Q173</f>
        <v>471</v>
      </c>
      <c r="L577" s="34"/>
    </row>
    <row r="578" spans="1:28" ht="14.4">
      <c r="A578" s="27"/>
      <c r="B578" s="28"/>
      <c r="C578" s="25" t="s">
        <v>963</v>
      </c>
      <c r="D578" s="30"/>
      <c r="E578" s="10"/>
      <c r="F578" s="32">
        <f>Source!AN173</f>
        <v>137.34</v>
      </c>
      <c r="G578" s="31" t="str">
        <f>Source!DF173</f>
        <v>)*1,25</v>
      </c>
      <c r="H578" s="33">
        <f>ROUND(Source!AE173*Source!I173, 0)</f>
        <v>6</v>
      </c>
      <c r="I578" s="31"/>
      <c r="J578" s="31">
        <f>IF(Source!BS173&lt;&gt; 0, Source!BS173, 1)</f>
        <v>20.88</v>
      </c>
      <c r="K578" s="33">
        <f>Source!R173</f>
        <v>128</v>
      </c>
      <c r="L578" s="34"/>
      <c r="R578">
        <f>H578</f>
        <v>6</v>
      </c>
    </row>
    <row r="579" spans="1:28" ht="14.4">
      <c r="A579" s="27"/>
      <c r="B579" s="28"/>
      <c r="C579" s="25" t="s">
        <v>969</v>
      </c>
      <c r="D579" s="30"/>
      <c r="E579" s="10"/>
      <c r="F579" s="32">
        <f>Source!AL173</f>
        <v>23514.06</v>
      </c>
      <c r="G579" s="31" t="str">
        <f>Source!DD173</f>
        <v/>
      </c>
      <c r="H579" s="33">
        <f>ROUND(Source!AC173*Source!I173, 0)</f>
        <v>839</v>
      </c>
      <c r="I579" s="31"/>
      <c r="J579" s="31">
        <f>IF(Source!BC173&lt;&gt; 0, Source!BC173, 1)</f>
        <v>6.18</v>
      </c>
      <c r="K579" s="33">
        <f>Source!P173</f>
        <v>5188</v>
      </c>
      <c r="L579" s="34"/>
    </row>
    <row r="580" spans="1:28" ht="14.4">
      <c r="A580" s="27"/>
      <c r="B580" s="28"/>
      <c r="C580" s="25" t="s">
        <v>964</v>
      </c>
      <c r="D580" s="30" t="s">
        <v>965</v>
      </c>
      <c r="E580" s="10">
        <f>Source!BZ173</f>
        <v>118</v>
      </c>
      <c r="F580" s="92" t="str">
        <f>CONCATENATE(" )", Source!DL173, Source!FT173, "=", Source!FX173)</f>
        <v xml:space="preserve"> )*0,9*0,7=74,34</v>
      </c>
      <c r="G580" s="90"/>
      <c r="H580" s="33">
        <f>SUM(S574:S583)</f>
        <v>32</v>
      </c>
      <c r="I580" s="35"/>
      <c r="J580" s="25">
        <f>Source!AT173</f>
        <v>74</v>
      </c>
      <c r="K580" s="33">
        <f>SUM(T574:T583)</f>
        <v>662</v>
      </c>
      <c r="L580" s="34"/>
    </row>
    <row r="581" spans="1:28" ht="14.4">
      <c r="A581" s="27"/>
      <c r="B581" s="28"/>
      <c r="C581" s="25" t="s">
        <v>966</v>
      </c>
      <c r="D581" s="30" t="s">
        <v>965</v>
      </c>
      <c r="E581" s="10">
        <f>Source!CA173</f>
        <v>63</v>
      </c>
      <c r="F581" s="92" t="str">
        <f>CONCATENATE(" )", Source!DM173, Source!FU173, "=", Source!FY173)</f>
        <v xml:space="preserve"> )*0,85*0,9=48,195</v>
      </c>
      <c r="G581" s="90"/>
      <c r="H581" s="33">
        <f>SUM(U574:U583)</f>
        <v>21</v>
      </c>
      <c r="I581" s="35"/>
      <c r="J581" s="25">
        <f>Source!AU173</f>
        <v>48</v>
      </c>
      <c r="K581" s="33">
        <f>SUM(V574:V583)</f>
        <v>430</v>
      </c>
      <c r="L581" s="34"/>
    </row>
    <row r="582" spans="1:28" ht="14.4">
      <c r="A582" s="27"/>
      <c r="B582" s="28"/>
      <c r="C582" s="25" t="s">
        <v>967</v>
      </c>
      <c r="D582" s="30" t="s">
        <v>968</v>
      </c>
      <c r="E582" s="10">
        <f>Source!AQ173</f>
        <v>104.28</v>
      </c>
      <c r="F582" s="32"/>
      <c r="G582" s="31" t="str">
        <f>Source!DI173</f>
        <v>)*1,15</v>
      </c>
      <c r="H582" s="33"/>
      <c r="I582" s="31"/>
      <c r="J582" s="31"/>
      <c r="K582" s="33"/>
      <c r="L582" s="36">
        <f>Source!U173</f>
        <v>4.2812153999999998</v>
      </c>
    </row>
    <row r="583" spans="1:28" ht="43.2">
      <c r="A583" s="53" t="str">
        <f>Source!E174</f>
        <v>69,1</v>
      </c>
      <c r="B583" s="53" t="str">
        <f>Source!F174</f>
        <v>203-0223</v>
      </c>
      <c r="C583" s="53" t="str">
        <f>Source!G174</f>
        <v>Блоки дверные с рамочными полотнами однопольные ДН 21-10, площадь 2,05 м2; ДН 24-10, площадь 2,35 м2</v>
      </c>
      <c r="D583" s="54" t="str">
        <f>Source!H174</f>
        <v>м2</v>
      </c>
      <c r="E583" s="55">
        <f>Source!I174</f>
        <v>-3.57</v>
      </c>
      <c r="F583" s="56">
        <f>Source!AK174</f>
        <v>208.29</v>
      </c>
      <c r="G583" s="57" t="s">
        <v>3</v>
      </c>
      <c r="H583" s="58">
        <f>ROUND(Source!AC174*Source!I174, 0)+ROUND(Source!AD174*Source!I174, 0)+ROUND(Source!AF174*Source!I174, 0)</f>
        <v>-744</v>
      </c>
      <c r="I583" s="54"/>
      <c r="J583" s="54">
        <f>IF(Source!BC174&lt;&gt; 0, Source!BC174, 1)</f>
        <v>6.33</v>
      </c>
      <c r="K583" s="58">
        <f>Source!O174</f>
        <v>-4707</v>
      </c>
      <c r="L583" s="56"/>
      <c r="S583">
        <f>ROUND((Source!FX174/100)*((ROUND(Source!AF174*Source!I174, 0)+ROUND(Source!AE174*Source!I174, 0))), 0)</f>
        <v>0</v>
      </c>
      <c r="T583">
        <f>Source!X174</f>
        <v>0</v>
      </c>
      <c r="U583">
        <f>ROUND((Source!FY174/100)*((ROUND(Source!AF174*Source!I174, 0)+ROUND(Source!AE174*Source!I174, 0))), 0)</f>
        <v>0</v>
      </c>
      <c r="V583">
        <f>Source!Y174</f>
        <v>0</v>
      </c>
      <c r="Y583">
        <f>IF(Source!BI174=3,H583, 0)</f>
        <v>0</v>
      </c>
      <c r="AA583">
        <f>ROUND(Source!AC174*Source!I174, 0)+ROUND(Source!AD174*Source!I174, 0)+ROUND(Source!AF174*Source!I174, 0)</f>
        <v>-744</v>
      </c>
      <c r="AB583">
        <f>Source!O174</f>
        <v>-4707</v>
      </c>
    </row>
    <row r="584" spans="1:28" ht="13.8">
      <c r="G584" s="93">
        <f>ROUND(Source!AC173*Source!I173, 0)+ROUND(Source!AF173*Source!I173, 0)+ROUND(Source!AD173*Source!I173, 0)+SUM(H580:H581)+SUM(AA583:AA583)</f>
        <v>250</v>
      </c>
      <c r="H584" s="93"/>
      <c r="J584" s="93">
        <f>Source!O173+SUM(K580:K581)+SUM(AB583:AB583)</f>
        <v>2811</v>
      </c>
      <c r="K584" s="93"/>
      <c r="L584" s="38">
        <f>Source!U173</f>
        <v>4.2812153999999998</v>
      </c>
      <c r="O584" s="37">
        <f>G584</f>
        <v>250</v>
      </c>
      <c r="P584" s="37">
        <f>J584</f>
        <v>2811</v>
      </c>
      <c r="Q584" s="48">
        <f>L584</f>
        <v>4.2812153999999998</v>
      </c>
      <c r="W584">
        <f>IF(Source!BI173&lt;=1,G584, 0)</f>
        <v>250</v>
      </c>
      <c r="X584">
        <f>IF(Source!BI173=2,G584, 0)</f>
        <v>0</v>
      </c>
      <c r="Y584">
        <f>IF(Source!BI173=3,G584, 0)</f>
        <v>0</v>
      </c>
      <c r="Z584">
        <f>IF(Source!BI173=4,G584, 0)</f>
        <v>0</v>
      </c>
    </row>
    <row r="585" spans="1:28" ht="42">
      <c r="A585" s="27" t="str">
        <f>Source!E175</f>
        <v>70</v>
      </c>
      <c r="B585" s="28" t="str">
        <f>Source!F175</f>
        <v>203-8095</v>
      </c>
      <c r="C585" s="25" t="str">
        <f>Source!G175</f>
        <v>Блоки дверные внутренние однопольные глухие шлифованные, из массива сосны, тонированные</v>
      </c>
      <c r="D585" s="30" t="str">
        <f>Source!H175</f>
        <v>м2</v>
      </c>
      <c r="E585" s="10">
        <f>Source!I175</f>
        <v>3.57</v>
      </c>
      <c r="F585" s="32">
        <f>IF(Source!AK175&lt;&gt; 0, Source!AK175,Source!AL175 + Source!AM175 + Source!AO175)</f>
        <v>1470.52</v>
      </c>
      <c r="G585" s="31"/>
      <c r="H585" s="33"/>
      <c r="I585" s="31" t="str">
        <f>Source!BO175</f>
        <v>203-8095</v>
      </c>
      <c r="J585" s="31"/>
      <c r="K585" s="33"/>
      <c r="L585" s="34"/>
      <c r="S585">
        <f>ROUND((Source!FX175/100)*((ROUND(Source!AF175*Source!I175, 0)+ROUND(Source!AE175*Source!I175, 0))), 0)</f>
        <v>0</v>
      </c>
      <c r="T585">
        <f>Source!X175</f>
        <v>0</v>
      </c>
      <c r="U585">
        <f>ROUND((Source!FY175/100)*((ROUND(Source!AF175*Source!I175, 0)+ROUND(Source!AE175*Source!I175, 0))), 0)</f>
        <v>0</v>
      </c>
      <c r="V585">
        <f>Source!Y175</f>
        <v>0</v>
      </c>
    </row>
    <row r="586" spans="1:28" ht="14.4">
      <c r="A586" s="39"/>
      <c r="B586" s="40"/>
      <c r="C586" s="41" t="s">
        <v>969</v>
      </c>
      <c r="D586" s="42"/>
      <c r="E586" s="43"/>
      <c r="F586" s="44">
        <f>Source!AL175</f>
        <v>1470.52</v>
      </c>
      <c r="G586" s="45" t="str">
        <f>Source!DD175</f>
        <v/>
      </c>
      <c r="H586" s="46">
        <f>ROUND(Source!AC175*Source!I175, 0)</f>
        <v>5250</v>
      </c>
      <c r="I586" s="45"/>
      <c r="J586" s="45">
        <f>IF(Source!BC175&lt;&gt; 0, Source!BC175, 1)</f>
        <v>3.15</v>
      </c>
      <c r="K586" s="46">
        <f>Source!P175</f>
        <v>16537</v>
      </c>
      <c r="L586" s="52"/>
    </row>
    <row r="587" spans="1:28" ht="13.8">
      <c r="G587" s="93">
        <f>ROUND(Source!AC175*Source!I175, 0)+ROUND(Source!AF175*Source!I175, 0)+ROUND(Source!AD175*Source!I175, 0)</f>
        <v>5250</v>
      </c>
      <c r="H587" s="93"/>
      <c r="J587" s="93">
        <f>Source!O175</f>
        <v>16537</v>
      </c>
      <c r="K587" s="93"/>
      <c r="L587" s="38">
        <f>Source!U175</f>
        <v>0</v>
      </c>
      <c r="O587" s="37">
        <f>G587</f>
        <v>5250</v>
      </c>
      <c r="P587" s="37">
        <f>J587</f>
        <v>16537</v>
      </c>
      <c r="Q587" s="48">
        <f>L587</f>
        <v>0</v>
      </c>
      <c r="W587">
        <f>IF(Source!BI175&lt;=1,G587, 0)</f>
        <v>5250</v>
      </c>
      <c r="X587">
        <f>IF(Source!BI175=2,G587, 0)</f>
        <v>0</v>
      </c>
      <c r="Y587">
        <f>IF(Source!BI175=3,G587, 0)</f>
        <v>0</v>
      </c>
      <c r="Z587">
        <f>IF(Source!BI175=4,G587, 0)</f>
        <v>0</v>
      </c>
    </row>
    <row r="588" spans="1:28" ht="28.2">
      <c r="A588" s="27" t="str">
        <f>Source!E176</f>
        <v>71</v>
      </c>
      <c r="B588" s="28" t="str">
        <f>Source!F176</f>
        <v>101-0950</v>
      </c>
      <c r="C588" s="25" t="str">
        <f>Source!G176</f>
        <v>Замок врезной оцинкованный с цилиндровым механизмом</v>
      </c>
      <c r="D588" s="30" t="str">
        <f>Source!H176</f>
        <v>компл.</v>
      </c>
      <c r="E588" s="10">
        <f>Source!I176</f>
        <v>2</v>
      </c>
      <c r="F588" s="32">
        <f>IF(Source!AK176&lt;&gt; 0, Source!AK176,Source!AL176 + Source!AM176 + Source!AO176)</f>
        <v>75.7</v>
      </c>
      <c r="G588" s="31"/>
      <c r="H588" s="33"/>
      <c r="I588" s="31" t="str">
        <f>Source!BO176</f>
        <v>101-0950</v>
      </c>
      <c r="J588" s="31"/>
      <c r="K588" s="33"/>
      <c r="L588" s="34"/>
      <c r="S588">
        <f>ROUND((Source!FX176/100)*((ROUND(Source!AF176*Source!I176, 0)+ROUND(Source!AE176*Source!I176, 0))), 0)</f>
        <v>0</v>
      </c>
      <c r="T588">
        <f>Source!X176</f>
        <v>0</v>
      </c>
      <c r="U588">
        <f>ROUND((Source!FY176/100)*((ROUND(Source!AF176*Source!I176, 0)+ROUND(Source!AE176*Source!I176, 0))), 0)</f>
        <v>0</v>
      </c>
      <c r="V588">
        <f>Source!Y176</f>
        <v>0</v>
      </c>
    </row>
    <row r="589" spans="1:28" ht="14.4">
      <c r="A589" s="39"/>
      <c r="B589" s="40"/>
      <c r="C589" s="41" t="s">
        <v>969</v>
      </c>
      <c r="D589" s="42"/>
      <c r="E589" s="43"/>
      <c r="F589" s="44">
        <f>Source!AL176</f>
        <v>75.7</v>
      </c>
      <c r="G589" s="45" t="str">
        <f>Source!DD176</f>
        <v/>
      </c>
      <c r="H589" s="46">
        <f>ROUND(Source!AC176*Source!I176, 0)</f>
        <v>151</v>
      </c>
      <c r="I589" s="45"/>
      <c r="J589" s="45">
        <f>IF(Source!BC176&lt;&gt; 0, Source!BC176, 1)</f>
        <v>4.47</v>
      </c>
      <c r="K589" s="46">
        <f>Source!P176</f>
        <v>677</v>
      </c>
      <c r="L589" s="52"/>
    </row>
    <row r="590" spans="1:28" ht="13.8">
      <c r="G590" s="93">
        <f>ROUND(Source!AC176*Source!I176, 0)+ROUND(Source!AF176*Source!I176, 0)+ROUND(Source!AD176*Source!I176, 0)</f>
        <v>151</v>
      </c>
      <c r="H590" s="93"/>
      <c r="J590" s="93">
        <f>Source!O176</f>
        <v>677</v>
      </c>
      <c r="K590" s="93"/>
      <c r="L590" s="38">
        <f>Source!U176</f>
        <v>0</v>
      </c>
      <c r="O590" s="37">
        <f>G590</f>
        <v>151</v>
      </c>
      <c r="P590" s="37">
        <f>J590</f>
        <v>677</v>
      </c>
      <c r="Q590" s="48">
        <f>L590</f>
        <v>0</v>
      </c>
      <c r="W590">
        <f>IF(Source!BI176&lt;=1,G590, 0)</f>
        <v>151</v>
      </c>
      <c r="X590">
        <f>IF(Source!BI176=2,G590, 0)</f>
        <v>0</v>
      </c>
      <c r="Y590">
        <f>IF(Source!BI176=3,G590, 0)</f>
        <v>0</v>
      </c>
      <c r="Z590">
        <f>IF(Source!BI176=4,G590, 0)</f>
        <v>0</v>
      </c>
    </row>
    <row r="591" spans="1:28" ht="43.2">
      <c r="A591" s="27" t="str">
        <f>Source!E177</f>
        <v>72</v>
      </c>
      <c r="B591" s="28" t="str">
        <f>Source!F177</f>
        <v>10-01-060-1</v>
      </c>
      <c r="C591" s="25" t="str">
        <f>Source!G177</f>
        <v>Установка и крепление наличников</v>
      </c>
      <c r="D591" s="30" t="str">
        <f>Source!H177</f>
        <v>100 м коробок блоков</v>
      </c>
      <c r="E591" s="10">
        <f>Source!I177</f>
        <v>0.14599999999999999</v>
      </c>
      <c r="F591" s="32">
        <f>IF(Source!AK177&lt;&gt; 0, Source!AK177,Source!AL177 + Source!AM177 + Source!AO177)</f>
        <v>516.04</v>
      </c>
      <c r="G591" s="31"/>
      <c r="H591" s="33"/>
      <c r="I591" s="31" t="str">
        <f>Source!BO177</f>
        <v>10-01-060-1</v>
      </c>
      <c r="J591" s="31"/>
      <c r="K591" s="33"/>
      <c r="L591" s="34"/>
      <c r="S591">
        <f>ROUND((Source!FX177/100)*((ROUND(Source!AF177*Source!I177, 0)+ROUND(Source!AE177*Source!I177, 0))), 0)</f>
        <v>7</v>
      </c>
      <c r="T591">
        <f>Source!X177</f>
        <v>155</v>
      </c>
      <c r="U591">
        <f>ROUND((Source!FY177/100)*((ROUND(Source!AF177*Source!I177, 0)+ROUND(Source!AE177*Source!I177, 0))), 0)</f>
        <v>5</v>
      </c>
      <c r="V591">
        <f>Source!Y177</f>
        <v>100</v>
      </c>
    </row>
    <row r="592" spans="1:28">
      <c r="C592" s="49" t="str">
        <f>"Объем: "&amp;Source!I177&amp;"=14,6/"&amp;"100"</f>
        <v>Объем: 0,146=14,6/100</v>
      </c>
    </row>
    <row r="593" spans="1:28" ht="14.4">
      <c r="A593" s="27"/>
      <c r="B593" s="28"/>
      <c r="C593" s="25" t="s">
        <v>962</v>
      </c>
      <c r="D593" s="30"/>
      <c r="E593" s="10"/>
      <c r="F593" s="32">
        <f>Source!AO177</f>
        <v>59.67</v>
      </c>
      <c r="G593" s="31" t="str">
        <f>Source!DG177</f>
        <v>)*1,15</v>
      </c>
      <c r="H593" s="33">
        <f>ROUND(Source!AF177*Source!I177, 0)</f>
        <v>10</v>
      </c>
      <c r="I593" s="31"/>
      <c r="J593" s="31">
        <f>IF(Source!BA177&lt;&gt; 0, Source!BA177, 1)</f>
        <v>20.88</v>
      </c>
      <c r="K593" s="33">
        <f>Source!S177</f>
        <v>209</v>
      </c>
      <c r="L593" s="34"/>
      <c r="R593">
        <f>H593</f>
        <v>10</v>
      </c>
    </row>
    <row r="594" spans="1:28" ht="14.4">
      <c r="A594" s="27"/>
      <c r="B594" s="28"/>
      <c r="C594" s="25" t="s">
        <v>125</v>
      </c>
      <c r="D594" s="30"/>
      <c r="E594" s="10"/>
      <c r="F594" s="32">
        <f>Source!AM177</f>
        <v>3.67</v>
      </c>
      <c r="G594" s="31" t="str">
        <f>Source!DE177</f>
        <v>)*1,25</v>
      </c>
      <c r="H594" s="33">
        <f>ROUND(Source!AD177*Source!I177, 0)</f>
        <v>1</v>
      </c>
      <c r="I594" s="31"/>
      <c r="J594" s="31">
        <f>IF(Source!BB177&lt;&gt; 0, Source!BB177, 1)</f>
        <v>9.1999999999999993</v>
      </c>
      <c r="K594" s="33">
        <f>Source!Q177</f>
        <v>6</v>
      </c>
      <c r="L594" s="34"/>
    </row>
    <row r="595" spans="1:28" ht="14.4">
      <c r="A595" s="27"/>
      <c r="B595" s="28"/>
      <c r="C595" s="25" t="s">
        <v>969</v>
      </c>
      <c r="D595" s="30"/>
      <c r="E595" s="10"/>
      <c r="F595" s="32">
        <f>Source!AL177</f>
        <v>452.7</v>
      </c>
      <c r="G595" s="31" t="str">
        <f>Source!DD177</f>
        <v/>
      </c>
      <c r="H595" s="33">
        <f>ROUND(Source!AC177*Source!I177, 0)</f>
        <v>66</v>
      </c>
      <c r="I595" s="31"/>
      <c r="J595" s="31">
        <f>IF(Source!BC177&lt;&gt; 0, Source!BC177, 1)</f>
        <v>12.28</v>
      </c>
      <c r="K595" s="33">
        <f>Source!P177</f>
        <v>812</v>
      </c>
      <c r="L595" s="34"/>
    </row>
    <row r="596" spans="1:28" ht="14.4">
      <c r="A596" s="27"/>
      <c r="B596" s="28"/>
      <c r="C596" s="25" t="s">
        <v>964</v>
      </c>
      <c r="D596" s="30" t="s">
        <v>965</v>
      </c>
      <c r="E596" s="10">
        <f>Source!BZ177</f>
        <v>118</v>
      </c>
      <c r="F596" s="92" t="str">
        <f>CONCATENATE(" )", Source!DL177, Source!FT177, "=", Source!FX177)</f>
        <v xml:space="preserve"> )*0,9*0,7=74,34</v>
      </c>
      <c r="G596" s="90"/>
      <c r="H596" s="33">
        <f>SUM(S591:S598)</f>
        <v>7</v>
      </c>
      <c r="I596" s="35"/>
      <c r="J596" s="25">
        <f>Source!AT177</f>
        <v>74</v>
      </c>
      <c r="K596" s="33">
        <f>SUM(T591:T598)</f>
        <v>155</v>
      </c>
      <c r="L596" s="34"/>
    </row>
    <row r="597" spans="1:28" ht="14.4">
      <c r="A597" s="27"/>
      <c r="B597" s="28"/>
      <c r="C597" s="25" t="s">
        <v>966</v>
      </c>
      <c r="D597" s="30" t="s">
        <v>965</v>
      </c>
      <c r="E597" s="10">
        <f>Source!CA177</f>
        <v>63</v>
      </c>
      <c r="F597" s="92" t="str">
        <f>CONCATENATE(" )", Source!DM177, Source!FU177, "=", Source!FY177)</f>
        <v xml:space="preserve"> )*0,85*0,9=48,195</v>
      </c>
      <c r="G597" s="90"/>
      <c r="H597" s="33">
        <f>SUM(U591:U598)</f>
        <v>5</v>
      </c>
      <c r="I597" s="35"/>
      <c r="J597" s="25">
        <f>Source!AU177</f>
        <v>48</v>
      </c>
      <c r="K597" s="33">
        <f>SUM(V591:V598)</f>
        <v>100</v>
      </c>
      <c r="L597" s="34"/>
    </row>
    <row r="598" spans="1:28" ht="14.4">
      <c r="A598" s="39"/>
      <c r="B598" s="40"/>
      <c r="C598" s="41" t="s">
        <v>967</v>
      </c>
      <c r="D598" s="42" t="s">
        <v>968</v>
      </c>
      <c r="E598" s="43">
        <f>Source!AQ177</f>
        <v>7.82</v>
      </c>
      <c r="F598" s="44"/>
      <c r="G598" s="45" t="str">
        <f>Source!DI177</f>
        <v>)*1,15</v>
      </c>
      <c r="H598" s="46"/>
      <c r="I598" s="45"/>
      <c r="J598" s="45"/>
      <c r="K598" s="46"/>
      <c r="L598" s="47">
        <f>Source!U177</f>
        <v>1.312978</v>
      </c>
    </row>
    <row r="599" spans="1:28" ht="13.8">
      <c r="G599" s="93">
        <f>ROUND(Source!AC177*Source!I177, 0)+ROUND(Source!AF177*Source!I177, 0)+ROUND(Source!AD177*Source!I177, 0)+SUM(H596:H597)</f>
        <v>89</v>
      </c>
      <c r="H599" s="93"/>
      <c r="J599" s="93">
        <f>Source!O177+SUM(K596:K597)</f>
        <v>1282</v>
      </c>
      <c r="K599" s="93"/>
      <c r="L599" s="38">
        <f>Source!U177</f>
        <v>1.312978</v>
      </c>
      <c r="O599" s="37">
        <f>G599</f>
        <v>89</v>
      </c>
      <c r="P599" s="37">
        <f>J599</f>
        <v>1282</v>
      </c>
      <c r="Q599" s="48">
        <f>L599</f>
        <v>1.312978</v>
      </c>
      <c r="W599">
        <f>IF(Source!BI177&lt;=1,G599, 0)</f>
        <v>89</v>
      </c>
      <c r="X599">
        <f>IF(Source!BI177=2,G599, 0)</f>
        <v>0</v>
      </c>
      <c r="Y599">
        <f>IF(Source!BI177=3,G599, 0)</f>
        <v>0</v>
      </c>
      <c r="Z599">
        <f>IF(Source!BI177=4,G599, 0)</f>
        <v>0</v>
      </c>
    </row>
    <row r="600" spans="1:28" ht="55.8">
      <c r="A600" s="27" t="str">
        <f>Source!E178</f>
        <v>73</v>
      </c>
      <c r="B600" s="28" t="str">
        <f>Source!F178</f>
        <v>15-01-050-4</v>
      </c>
      <c r="C600" s="25" t="str">
        <f>Source!G178</f>
        <v>Облицовка оконных и дверных откосов декоративным бумажно-слоистым пластиком или листами из синтетических материалов на клее (дверной добор)</v>
      </c>
      <c r="D600" s="30" t="str">
        <f>Source!H178</f>
        <v>100 М2 ОБЛИЦОВКИ</v>
      </c>
      <c r="E600" s="10">
        <f>Source!I178</f>
        <v>5.0000000000000001E-3</v>
      </c>
      <c r="F600" s="32">
        <f>IF(Source!AK178&lt;&gt; 0, Source!AK178,Source!AL178 + Source!AM178 + Source!AO178)</f>
        <v>13886.37</v>
      </c>
      <c r="G600" s="31"/>
      <c r="H600" s="33"/>
      <c r="I600" s="31" t="str">
        <f>Source!BO178</f>
        <v>15-01-050-4</v>
      </c>
      <c r="J600" s="31"/>
      <c r="K600" s="33"/>
      <c r="L600" s="34"/>
      <c r="S600">
        <f>ROUND((Source!FX178/100)*((ROUND(Source!AF178*Source!I178, 0)+ROUND(Source!AE178*Source!I178, 0))), 0)</f>
        <v>5</v>
      </c>
      <c r="T600">
        <f>Source!X178</f>
        <v>113</v>
      </c>
      <c r="U600">
        <f>ROUND((Source!FY178/100)*((ROUND(Source!AF178*Source!I178, 0)+ROUND(Source!AE178*Source!I178, 0))), 0)</f>
        <v>3</v>
      </c>
      <c r="V600">
        <f>Source!Y178</f>
        <v>72</v>
      </c>
    </row>
    <row r="601" spans="1:28">
      <c r="C601" s="49" t="str">
        <f>"Объем: "&amp;Source!I178&amp;"=0,5/"&amp;"100"</f>
        <v>Объем: 0,005=0,5/100</v>
      </c>
    </row>
    <row r="602" spans="1:28" ht="14.4">
      <c r="A602" s="27"/>
      <c r="B602" s="28"/>
      <c r="C602" s="25" t="s">
        <v>962</v>
      </c>
      <c r="D602" s="30"/>
      <c r="E602" s="10"/>
      <c r="F602" s="32">
        <f>Source!AO178</f>
        <v>1428.31</v>
      </c>
      <c r="G602" s="31" t="str">
        <f>Source!DG178</f>
        <v>)*1,15</v>
      </c>
      <c r="H602" s="33">
        <f>ROUND(Source!AF178*Source!I178, 0)</f>
        <v>8</v>
      </c>
      <c r="I602" s="31"/>
      <c r="J602" s="31">
        <f>IF(Source!BA178&lt;&gt; 0, Source!BA178, 1)</f>
        <v>20.88</v>
      </c>
      <c r="K602" s="33">
        <f>Source!S178</f>
        <v>171</v>
      </c>
      <c r="L602" s="34"/>
      <c r="R602">
        <f>H602</f>
        <v>8</v>
      </c>
    </row>
    <row r="603" spans="1:28" ht="14.4">
      <c r="A603" s="27"/>
      <c r="B603" s="28"/>
      <c r="C603" s="25" t="s">
        <v>125</v>
      </c>
      <c r="D603" s="30"/>
      <c r="E603" s="10"/>
      <c r="F603" s="32">
        <f>Source!AM178</f>
        <v>48.7</v>
      </c>
      <c r="G603" s="31" t="str">
        <f>Source!DE178</f>
        <v>)*1,25</v>
      </c>
      <c r="H603" s="33">
        <f>ROUND(Source!AD178*Source!I178, 0)</f>
        <v>0</v>
      </c>
      <c r="I603" s="31"/>
      <c r="J603" s="31">
        <f>IF(Source!BB178&lt;&gt; 0, Source!BB178, 1)</f>
        <v>9.23</v>
      </c>
      <c r="K603" s="33">
        <f>Source!Q178</f>
        <v>3</v>
      </c>
      <c r="L603" s="34"/>
    </row>
    <row r="604" spans="1:28" ht="14.4">
      <c r="A604" s="27"/>
      <c r="B604" s="28"/>
      <c r="C604" s="25" t="s">
        <v>969</v>
      </c>
      <c r="D604" s="30"/>
      <c r="E604" s="10"/>
      <c r="F604" s="32">
        <f>Source!AL178</f>
        <v>12409.36</v>
      </c>
      <c r="G604" s="31" t="str">
        <f>Source!DD178</f>
        <v/>
      </c>
      <c r="H604" s="33">
        <f>ROUND(Source!AC178*Source!I178, 0)</f>
        <v>62</v>
      </c>
      <c r="I604" s="31"/>
      <c r="J604" s="31">
        <f>IF(Source!BC178&lt;&gt; 0, Source!BC178, 1)</f>
        <v>1.8</v>
      </c>
      <c r="K604" s="33">
        <f>Source!P178</f>
        <v>112</v>
      </c>
      <c r="L604" s="34"/>
    </row>
    <row r="605" spans="1:28" ht="14.4">
      <c r="A605" s="27"/>
      <c r="B605" s="28"/>
      <c r="C605" s="25" t="s">
        <v>964</v>
      </c>
      <c r="D605" s="30" t="s">
        <v>965</v>
      </c>
      <c r="E605" s="10">
        <f>Source!BZ178</f>
        <v>105</v>
      </c>
      <c r="F605" s="92" t="str">
        <f>CONCATENATE(" )", Source!DL178, Source!FT178, "=", Source!FX178)</f>
        <v xml:space="preserve"> )*0,9*0,7=66,15</v>
      </c>
      <c r="G605" s="90"/>
      <c r="H605" s="33">
        <f>SUM(S600:S608)</f>
        <v>5</v>
      </c>
      <c r="I605" s="35"/>
      <c r="J605" s="25">
        <f>Source!AT178</f>
        <v>66</v>
      </c>
      <c r="K605" s="33">
        <f>SUM(T600:T608)</f>
        <v>113</v>
      </c>
      <c r="L605" s="34"/>
    </row>
    <row r="606" spans="1:28" ht="14.4">
      <c r="A606" s="27"/>
      <c r="B606" s="28"/>
      <c r="C606" s="25" t="s">
        <v>966</v>
      </c>
      <c r="D606" s="30" t="s">
        <v>965</v>
      </c>
      <c r="E606" s="10">
        <f>Source!CA178</f>
        <v>55</v>
      </c>
      <c r="F606" s="92" t="str">
        <f>CONCATENATE(" )", Source!DM178, Source!FU178, "=", Source!FY178)</f>
        <v xml:space="preserve"> )*0,85*0,9=42,075</v>
      </c>
      <c r="G606" s="90"/>
      <c r="H606" s="33">
        <f>SUM(U600:U608)</f>
        <v>3</v>
      </c>
      <c r="I606" s="35"/>
      <c r="J606" s="25">
        <f>Source!AU178</f>
        <v>42</v>
      </c>
      <c r="K606" s="33">
        <f>SUM(V600:V608)</f>
        <v>72</v>
      </c>
      <c r="L606" s="34"/>
    </row>
    <row r="607" spans="1:28" ht="14.4">
      <c r="A607" s="27"/>
      <c r="B607" s="28"/>
      <c r="C607" s="25" t="s">
        <v>967</v>
      </c>
      <c r="D607" s="30" t="s">
        <v>968</v>
      </c>
      <c r="E607" s="10">
        <f>Source!AQ178</f>
        <v>166.47</v>
      </c>
      <c r="F607" s="32"/>
      <c r="G607" s="31" t="str">
        <f>Source!DI178</f>
        <v>)*1,15</v>
      </c>
      <c r="H607" s="33"/>
      <c r="I607" s="31"/>
      <c r="J607" s="31"/>
      <c r="K607" s="33"/>
      <c r="L607" s="36">
        <f>Source!U178</f>
        <v>0.95720249999999996</v>
      </c>
    </row>
    <row r="608" spans="1:28" ht="28.8">
      <c r="A608" s="53" t="str">
        <f>Source!E179</f>
        <v>73,1</v>
      </c>
      <c r="B608" s="53" t="str">
        <f>Source!F179</f>
        <v>101-1862</v>
      </c>
      <c r="C608" s="53" t="str">
        <f>Source!G179</f>
        <v>Пластик бумажно-слоистый 2 с декоративной стороной</v>
      </c>
      <c r="D608" s="54" t="str">
        <f>Source!H179</f>
        <v>1000 м2</v>
      </c>
      <c r="E608" s="55">
        <f>Source!I179</f>
        <v>-5.2499999999999997E-4</v>
      </c>
      <c r="F608" s="56">
        <f>Source!AK179</f>
        <v>113054</v>
      </c>
      <c r="G608" s="57" t="s">
        <v>3</v>
      </c>
      <c r="H608" s="58">
        <f>ROUND(Source!AC179*Source!I179, 0)+ROUND(Source!AD179*Source!I179, 0)+ROUND(Source!AF179*Source!I179, 0)</f>
        <v>-59</v>
      </c>
      <c r="I608" s="54"/>
      <c r="J608" s="54">
        <f>IF(Source!BC179&lt;&gt; 0, Source!BC179, 1)</f>
        <v>1.72</v>
      </c>
      <c r="K608" s="58">
        <f>Source!O179</f>
        <v>-102</v>
      </c>
      <c r="L608" s="56"/>
      <c r="S608">
        <f>ROUND((Source!FX179/100)*((ROUND(Source!AF179*Source!I179, 0)+ROUND(Source!AE179*Source!I179, 0))), 0)</f>
        <v>0</v>
      </c>
      <c r="T608">
        <f>Source!X179</f>
        <v>0</v>
      </c>
      <c r="U608">
        <f>ROUND((Source!FY179/100)*((ROUND(Source!AF179*Source!I179, 0)+ROUND(Source!AE179*Source!I179, 0))), 0)</f>
        <v>0</v>
      </c>
      <c r="V608">
        <f>Source!Y179</f>
        <v>0</v>
      </c>
      <c r="Y608">
        <f>IF(Source!BI179=3,H608, 0)</f>
        <v>0</v>
      </c>
      <c r="AA608">
        <f>ROUND(Source!AC179*Source!I179, 0)+ROUND(Source!AD179*Source!I179, 0)+ROUND(Source!AF179*Source!I179, 0)</f>
        <v>-59</v>
      </c>
      <c r="AB608">
        <f>Source!O179</f>
        <v>-102</v>
      </c>
    </row>
    <row r="609" spans="1:28" ht="13.8">
      <c r="G609" s="93">
        <f>ROUND(Source!AC178*Source!I178, 0)+ROUND(Source!AF178*Source!I178, 0)+ROUND(Source!AD178*Source!I178, 0)+SUM(H605:H606)+SUM(AA608:AA608)</f>
        <v>19</v>
      </c>
      <c r="H609" s="93"/>
      <c r="J609" s="93">
        <f>Source!O178+SUM(K605:K606)+SUM(AB608:AB608)</f>
        <v>369</v>
      </c>
      <c r="K609" s="93"/>
      <c r="L609" s="38">
        <f>Source!U178</f>
        <v>0.95720249999999996</v>
      </c>
      <c r="O609" s="37">
        <f>G609</f>
        <v>19</v>
      </c>
      <c r="P609" s="37">
        <f>J609</f>
        <v>369</v>
      </c>
      <c r="Q609" s="48">
        <f>L609</f>
        <v>0.95720249999999996</v>
      </c>
      <c r="W609">
        <f>IF(Source!BI178&lt;=1,G609, 0)</f>
        <v>19</v>
      </c>
      <c r="X609">
        <f>IF(Source!BI178=2,G609, 0)</f>
        <v>0</v>
      </c>
      <c r="Y609">
        <f>IF(Source!BI178=3,G609, 0)</f>
        <v>0</v>
      </c>
      <c r="Z609">
        <f>IF(Source!BI178=4,G609, 0)</f>
        <v>0</v>
      </c>
    </row>
    <row r="610" spans="1:28" ht="14.4">
      <c r="A610" s="27" t="str">
        <f>Source!E180</f>
        <v>74</v>
      </c>
      <c r="B610" s="28" t="str">
        <f>Source!F180</f>
        <v>Прайс</v>
      </c>
      <c r="C610" s="25" t="str">
        <f>Source!G180</f>
        <v>Дверной добор</v>
      </c>
      <c r="D610" s="30" t="str">
        <f>Source!H180</f>
        <v>м2</v>
      </c>
      <c r="E610" s="10">
        <f>Source!I180</f>
        <v>0.52500000000000002</v>
      </c>
      <c r="F610" s="32">
        <f>IF(Source!AK180&lt;&gt; 0, Source!AK180,Source!AL180 + Source!AM180 + Source!AO180)</f>
        <v>1900</v>
      </c>
      <c r="G610" s="31"/>
      <c r="H610" s="33"/>
      <c r="I610" s="31" t="str">
        <f>Source!BO180</f>
        <v/>
      </c>
      <c r="J610" s="31"/>
      <c r="K610" s="33"/>
      <c r="L610" s="34"/>
      <c r="S610">
        <f>ROUND((Source!FX180/100)*((ROUND(Source!AF180*Source!I180, 0)+ROUND(Source!AE180*Source!I180, 0))), 0)</f>
        <v>0</v>
      </c>
      <c r="T610">
        <f>Source!X180</f>
        <v>0</v>
      </c>
      <c r="U610">
        <f>ROUND((Source!FY180/100)*((ROUND(Source!AF180*Source!I180, 0)+ROUND(Source!AE180*Source!I180, 0))), 0)</f>
        <v>0</v>
      </c>
      <c r="V610">
        <f>Source!Y180</f>
        <v>0</v>
      </c>
    </row>
    <row r="611" spans="1:28" ht="14.4">
      <c r="A611" s="39"/>
      <c r="B611" s="40"/>
      <c r="C611" s="41" t="s">
        <v>969</v>
      </c>
      <c r="D611" s="42"/>
      <c r="E611" s="43"/>
      <c r="F611" s="44">
        <f>Source!AL180</f>
        <v>1900</v>
      </c>
      <c r="G611" s="45" t="str">
        <f>Source!DD180</f>
        <v/>
      </c>
      <c r="H611" s="46">
        <f>ROUND(Source!AC180*Source!I180, 0)</f>
        <v>998</v>
      </c>
      <c r="I611" s="45"/>
      <c r="J611" s="45">
        <f>IF(Source!BC180&lt;&gt; 0, Source!BC180, 1)</f>
        <v>1</v>
      </c>
      <c r="K611" s="46">
        <f>Source!P180</f>
        <v>998</v>
      </c>
      <c r="L611" s="52"/>
    </row>
    <row r="612" spans="1:28" ht="13.8">
      <c r="G612" s="93">
        <f>ROUND(Source!AC180*Source!I180, 0)+ROUND(Source!AF180*Source!I180, 0)+ROUND(Source!AD180*Source!I180, 0)</f>
        <v>998</v>
      </c>
      <c r="H612" s="93"/>
      <c r="J612" s="93">
        <f>Source!O180</f>
        <v>998</v>
      </c>
      <c r="K612" s="93"/>
      <c r="L612" s="38">
        <f>Source!U180</f>
        <v>0</v>
      </c>
      <c r="O612" s="37">
        <f>G612</f>
        <v>998</v>
      </c>
      <c r="P612" s="37">
        <f>J612</f>
        <v>998</v>
      </c>
      <c r="Q612" s="48">
        <f>L612</f>
        <v>0</v>
      </c>
      <c r="W612">
        <f>IF(Source!BI180&lt;=1,G612, 0)</f>
        <v>998</v>
      </c>
      <c r="X612">
        <f>IF(Source!BI180=2,G612, 0)</f>
        <v>0</v>
      </c>
      <c r="Y612">
        <f>IF(Source!BI180=3,G612, 0)</f>
        <v>0</v>
      </c>
      <c r="Z612">
        <f>IF(Source!BI180=4,G612, 0)</f>
        <v>0</v>
      </c>
    </row>
    <row r="613" spans="1:28" ht="55.8">
      <c r="A613" s="27" t="str">
        <f>Source!E181</f>
        <v>75</v>
      </c>
      <c r="B613" s="28" t="str">
        <f>Source!F181</f>
        <v>15-01-050-4</v>
      </c>
      <c r="C613" s="25" t="str">
        <f>Source!G181</f>
        <v>Облицовка оконных и дверных откосов декоративным бумажно-слоистым пластиком или листами из синтетических материалов на клее</v>
      </c>
      <c r="D613" s="30" t="str">
        <f>Source!H181</f>
        <v>100 М2 ОБЛИЦОВКИ</v>
      </c>
      <c r="E613" s="10">
        <f>Source!I181</f>
        <v>3.1199999999999999E-2</v>
      </c>
      <c r="F613" s="32">
        <f>IF(Source!AK181&lt;&gt; 0, Source!AK181,Source!AL181 + Source!AM181 + Source!AO181)</f>
        <v>13886.37</v>
      </c>
      <c r="G613" s="31"/>
      <c r="H613" s="33"/>
      <c r="I613" s="31" t="str">
        <f>Source!BO181</f>
        <v>15-01-050-4</v>
      </c>
      <c r="J613" s="31"/>
      <c r="K613" s="33"/>
      <c r="L613" s="34"/>
      <c r="S613">
        <f>ROUND((Source!FX181/100)*((ROUND(Source!AF181*Source!I181, 0)+ROUND(Source!AE181*Source!I181, 0))), 0)</f>
        <v>34</v>
      </c>
      <c r="T613">
        <f>Source!X181</f>
        <v>707</v>
      </c>
      <c r="U613">
        <f>ROUND((Source!FY181/100)*((ROUND(Source!AF181*Source!I181, 0)+ROUND(Source!AE181*Source!I181, 0))), 0)</f>
        <v>21</v>
      </c>
      <c r="V613">
        <f>Source!Y181</f>
        <v>450</v>
      </c>
    </row>
    <row r="614" spans="1:28">
      <c r="C614" s="49" t="str">
        <f>"Объем: "&amp;Source!I181&amp;"=3,12/"&amp;"100"</f>
        <v>Объем: 0,0312=3,12/100</v>
      </c>
    </row>
    <row r="615" spans="1:28" ht="14.4">
      <c r="A615" s="27"/>
      <c r="B615" s="28"/>
      <c r="C615" s="25" t="s">
        <v>962</v>
      </c>
      <c r="D615" s="30"/>
      <c r="E615" s="10"/>
      <c r="F615" s="32">
        <f>Source!AO181</f>
        <v>1428.31</v>
      </c>
      <c r="G615" s="31" t="str">
        <f>Source!DG181</f>
        <v>)*1,15</v>
      </c>
      <c r="H615" s="33">
        <f>ROUND(Source!AF181*Source!I181, 0)</f>
        <v>51</v>
      </c>
      <c r="I615" s="31"/>
      <c r="J615" s="31">
        <f>IF(Source!BA181&lt;&gt; 0, Source!BA181, 1)</f>
        <v>20.88</v>
      </c>
      <c r="K615" s="33">
        <f>Source!S181</f>
        <v>1070</v>
      </c>
      <c r="L615" s="34"/>
      <c r="R615">
        <f>H615</f>
        <v>51</v>
      </c>
    </row>
    <row r="616" spans="1:28" ht="14.4">
      <c r="A616" s="27"/>
      <c r="B616" s="28"/>
      <c r="C616" s="25" t="s">
        <v>125</v>
      </c>
      <c r="D616" s="30"/>
      <c r="E616" s="10"/>
      <c r="F616" s="32">
        <f>Source!AM181</f>
        <v>48.7</v>
      </c>
      <c r="G616" s="31" t="str">
        <f>Source!DE181</f>
        <v>)*1,25</v>
      </c>
      <c r="H616" s="33">
        <f>ROUND(Source!AD181*Source!I181, 0)</f>
        <v>2</v>
      </c>
      <c r="I616" s="31"/>
      <c r="J616" s="31">
        <f>IF(Source!BB181&lt;&gt; 0, Source!BB181, 1)</f>
        <v>9.23</v>
      </c>
      <c r="K616" s="33">
        <f>Source!Q181</f>
        <v>18</v>
      </c>
      <c r="L616" s="34"/>
    </row>
    <row r="617" spans="1:28" ht="14.4">
      <c r="A617" s="27"/>
      <c r="B617" s="28"/>
      <c r="C617" s="25" t="s">
        <v>963</v>
      </c>
      <c r="D617" s="30"/>
      <c r="E617" s="10"/>
      <c r="F617" s="32">
        <f>Source!AN181</f>
        <v>0.97</v>
      </c>
      <c r="G617" s="31" t="str">
        <f>Source!DF181</f>
        <v>)*1,25</v>
      </c>
      <c r="H617" s="33">
        <f>ROUND(Source!AE181*Source!I181, 0)</f>
        <v>0</v>
      </c>
      <c r="I617" s="31"/>
      <c r="J617" s="31">
        <f>IF(Source!BS181&lt;&gt; 0, Source!BS181, 1)</f>
        <v>20.88</v>
      </c>
      <c r="K617" s="33">
        <f>Source!R181</f>
        <v>1</v>
      </c>
      <c r="L617" s="34"/>
      <c r="R617">
        <f>H617</f>
        <v>0</v>
      </c>
    </row>
    <row r="618" spans="1:28" ht="14.4">
      <c r="A618" s="27"/>
      <c r="B618" s="28"/>
      <c r="C618" s="25" t="s">
        <v>969</v>
      </c>
      <c r="D618" s="30"/>
      <c r="E618" s="10"/>
      <c r="F618" s="32">
        <f>Source!AL181</f>
        <v>12409.36</v>
      </c>
      <c r="G618" s="31" t="str">
        <f>Source!DD181</f>
        <v/>
      </c>
      <c r="H618" s="33">
        <f>ROUND(Source!AC181*Source!I181, 0)</f>
        <v>387</v>
      </c>
      <c r="I618" s="31"/>
      <c r="J618" s="31">
        <f>IF(Source!BC181&lt;&gt; 0, Source!BC181, 1)</f>
        <v>1.8</v>
      </c>
      <c r="K618" s="33">
        <f>Source!P181</f>
        <v>697</v>
      </c>
      <c r="L618" s="34"/>
    </row>
    <row r="619" spans="1:28" ht="14.4">
      <c r="A619" s="27"/>
      <c r="B619" s="28"/>
      <c r="C619" s="25" t="s">
        <v>964</v>
      </c>
      <c r="D619" s="30" t="s">
        <v>965</v>
      </c>
      <c r="E619" s="10">
        <f>Source!BZ181</f>
        <v>105</v>
      </c>
      <c r="F619" s="92" t="str">
        <f>CONCATENATE(" )", Source!DL181, Source!FT181, "=", Source!FX181)</f>
        <v xml:space="preserve"> )*0,9*0,7=66,15</v>
      </c>
      <c r="G619" s="90"/>
      <c r="H619" s="33">
        <f>SUM(S613:S622)</f>
        <v>34</v>
      </c>
      <c r="I619" s="35"/>
      <c r="J619" s="25">
        <f>Source!AT181</f>
        <v>66</v>
      </c>
      <c r="K619" s="33">
        <f>SUM(T613:T622)</f>
        <v>707</v>
      </c>
      <c r="L619" s="34"/>
    </row>
    <row r="620" spans="1:28" ht="14.4">
      <c r="A620" s="27"/>
      <c r="B620" s="28"/>
      <c r="C620" s="25" t="s">
        <v>966</v>
      </c>
      <c r="D620" s="30" t="s">
        <v>965</v>
      </c>
      <c r="E620" s="10">
        <f>Source!CA181</f>
        <v>55</v>
      </c>
      <c r="F620" s="92" t="str">
        <f>CONCATENATE(" )", Source!DM181, Source!FU181, "=", Source!FY181)</f>
        <v xml:space="preserve"> )*0,85*0,9=42,075</v>
      </c>
      <c r="G620" s="90"/>
      <c r="H620" s="33">
        <f>SUM(U613:U622)</f>
        <v>21</v>
      </c>
      <c r="I620" s="35"/>
      <c r="J620" s="25">
        <f>Source!AU181</f>
        <v>42</v>
      </c>
      <c r="K620" s="33">
        <f>SUM(V613:V622)</f>
        <v>450</v>
      </c>
      <c r="L620" s="34"/>
    </row>
    <row r="621" spans="1:28" ht="14.4">
      <c r="A621" s="27"/>
      <c r="B621" s="28"/>
      <c r="C621" s="25" t="s">
        <v>967</v>
      </c>
      <c r="D621" s="30" t="s">
        <v>968</v>
      </c>
      <c r="E621" s="10">
        <f>Source!AQ181</f>
        <v>166.47</v>
      </c>
      <c r="F621" s="32"/>
      <c r="G621" s="31" t="str">
        <f>Source!DI181</f>
        <v>)*1,15</v>
      </c>
      <c r="H621" s="33"/>
      <c r="I621" s="31"/>
      <c r="J621" s="31"/>
      <c r="K621" s="33"/>
      <c r="L621" s="36">
        <f>Source!U181</f>
        <v>5.9729435999999989</v>
      </c>
    </row>
    <row r="622" spans="1:28" ht="28.8">
      <c r="A622" s="53" t="str">
        <f>Source!E182</f>
        <v>75,1</v>
      </c>
      <c r="B622" s="53" t="str">
        <f>Source!F182</f>
        <v>101-1862</v>
      </c>
      <c r="C622" s="53" t="str">
        <f>Source!G182</f>
        <v>Пластик бумажно-слоистый 2 с декоративной стороной</v>
      </c>
      <c r="D622" s="54" t="str">
        <f>Source!H182</f>
        <v>1000 м2</v>
      </c>
      <c r="E622" s="55">
        <f>Source!I182</f>
        <v>-3.2759999999999998E-3</v>
      </c>
      <c r="F622" s="56">
        <f>Source!AK182</f>
        <v>113054</v>
      </c>
      <c r="G622" s="57" t="s">
        <v>3</v>
      </c>
      <c r="H622" s="58">
        <f>ROUND(Source!AC182*Source!I182, 0)+ROUND(Source!AD182*Source!I182, 0)+ROUND(Source!AF182*Source!I182, 0)</f>
        <v>-370</v>
      </c>
      <c r="I622" s="54"/>
      <c r="J622" s="54">
        <f>IF(Source!BC182&lt;&gt; 0, Source!BC182, 1)</f>
        <v>1.72</v>
      </c>
      <c r="K622" s="58">
        <f>Source!O182</f>
        <v>-637</v>
      </c>
      <c r="L622" s="56"/>
      <c r="S622">
        <f>ROUND((Source!FX182/100)*((ROUND(Source!AF182*Source!I182, 0)+ROUND(Source!AE182*Source!I182, 0))), 0)</f>
        <v>0</v>
      </c>
      <c r="T622">
        <f>Source!X182</f>
        <v>0</v>
      </c>
      <c r="U622">
        <f>ROUND((Source!FY182/100)*((ROUND(Source!AF182*Source!I182, 0)+ROUND(Source!AE182*Source!I182, 0))), 0)</f>
        <v>0</v>
      </c>
      <c r="V622">
        <f>Source!Y182</f>
        <v>0</v>
      </c>
      <c r="Y622">
        <f>IF(Source!BI182=3,H622, 0)</f>
        <v>0</v>
      </c>
      <c r="AA622">
        <f>ROUND(Source!AC182*Source!I182, 0)+ROUND(Source!AD182*Source!I182, 0)+ROUND(Source!AF182*Source!I182, 0)</f>
        <v>-370</v>
      </c>
      <c r="AB622">
        <f>Source!O182</f>
        <v>-637</v>
      </c>
    </row>
    <row r="623" spans="1:28" ht="13.8">
      <c r="G623" s="93">
        <f>ROUND(Source!AC181*Source!I181, 0)+ROUND(Source!AF181*Source!I181, 0)+ROUND(Source!AD181*Source!I181, 0)+SUM(H619:H620)+SUM(AA622:AA622)</f>
        <v>125</v>
      </c>
      <c r="H623" s="93"/>
      <c r="J623" s="93">
        <f>Source!O181+SUM(K619:K620)+SUM(AB622:AB622)</f>
        <v>2305</v>
      </c>
      <c r="K623" s="93"/>
      <c r="L623" s="38">
        <f>Source!U181</f>
        <v>5.9729435999999989</v>
      </c>
      <c r="O623" s="37">
        <f>G623</f>
        <v>125</v>
      </c>
      <c r="P623" s="37">
        <f>J623</f>
        <v>2305</v>
      </c>
      <c r="Q623" s="48">
        <f>L623</f>
        <v>5.9729435999999989</v>
      </c>
      <c r="W623">
        <f>IF(Source!BI181&lt;=1,G623, 0)</f>
        <v>125</v>
      </c>
      <c r="X623">
        <f>IF(Source!BI181=2,G623, 0)</f>
        <v>0</v>
      </c>
      <c r="Y623">
        <f>IF(Source!BI181=3,G623, 0)</f>
        <v>0</v>
      </c>
      <c r="Z623">
        <f>IF(Source!BI181=4,G623, 0)</f>
        <v>0</v>
      </c>
    </row>
    <row r="624" spans="1:28" ht="69.599999999999994">
      <c r="A624" s="27" t="str">
        <f>Source!E183</f>
        <v>76</v>
      </c>
      <c r="B624" s="28" t="str">
        <f>Source!F183</f>
        <v>101-6872</v>
      </c>
      <c r="C624" s="25" t="str">
        <f>Source!G183</f>
        <v>Сэндвич-панели для откосов (наружные слои – листы из поливинилхлорида, внутреннее наполнение – вспененный пенополистирол) белые, ширина 2 м, длина 3,0 м, толщина 10 мм</v>
      </c>
      <c r="D624" s="30" t="str">
        <f>Source!H183</f>
        <v>м2</v>
      </c>
      <c r="E624" s="10">
        <f>Source!I183</f>
        <v>3.12</v>
      </c>
      <c r="F624" s="32">
        <f>IF(Source!AK183&lt;&gt; 0, Source!AK183,Source!AL183 + Source!AM183 + Source!AO183)</f>
        <v>581.29999999999995</v>
      </c>
      <c r="G624" s="31"/>
      <c r="H624" s="33"/>
      <c r="I624" s="31" t="str">
        <f>Source!BO183</f>
        <v>101-6872</v>
      </c>
      <c r="J624" s="31"/>
      <c r="K624" s="33"/>
      <c r="L624" s="34"/>
      <c r="S624">
        <f>ROUND((Source!FX183/100)*((ROUND(Source!AF183*Source!I183, 0)+ROUND(Source!AE183*Source!I183, 0))), 0)</f>
        <v>0</v>
      </c>
      <c r="T624">
        <f>Source!X183</f>
        <v>0</v>
      </c>
      <c r="U624">
        <f>ROUND((Source!FY183/100)*((ROUND(Source!AF183*Source!I183, 0)+ROUND(Source!AE183*Source!I183, 0))), 0)</f>
        <v>0</v>
      </c>
      <c r="V624">
        <f>Source!Y183</f>
        <v>0</v>
      </c>
    </row>
    <row r="625" spans="1:26" ht="14.4">
      <c r="A625" s="39"/>
      <c r="B625" s="40"/>
      <c r="C625" s="41" t="s">
        <v>969</v>
      </c>
      <c r="D625" s="42"/>
      <c r="E625" s="43"/>
      <c r="F625" s="44">
        <f>Source!AL183</f>
        <v>581.29999999999995</v>
      </c>
      <c r="G625" s="45" t="str">
        <f>Source!DD183</f>
        <v/>
      </c>
      <c r="H625" s="46">
        <f>ROUND(Source!AC183*Source!I183, 0)</f>
        <v>1814</v>
      </c>
      <c r="I625" s="45"/>
      <c r="J625" s="45">
        <f>IF(Source!BC183&lt;&gt; 0, Source!BC183, 1)</f>
        <v>0.63</v>
      </c>
      <c r="K625" s="46">
        <f>Source!P183</f>
        <v>1143</v>
      </c>
      <c r="L625" s="52"/>
    </row>
    <row r="626" spans="1:26" ht="13.8">
      <c r="G626" s="93">
        <f>ROUND(Source!AC183*Source!I183, 0)+ROUND(Source!AF183*Source!I183, 0)+ROUND(Source!AD183*Source!I183, 0)</f>
        <v>1814</v>
      </c>
      <c r="H626" s="93"/>
      <c r="J626" s="93">
        <f>Source!O183</f>
        <v>1143</v>
      </c>
      <c r="K626" s="93"/>
      <c r="L626" s="38">
        <f>Source!U183</f>
        <v>0</v>
      </c>
      <c r="O626" s="37">
        <f>G626</f>
        <v>1814</v>
      </c>
      <c r="P626" s="37">
        <f>J626</f>
        <v>1143</v>
      </c>
      <c r="Q626" s="48">
        <f>L626</f>
        <v>0</v>
      </c>
      <c r="W626">
        <f>IF(Source!BI183&lt;=1,G626, 0)</f>
        <v>1814</v>
      </c>
      <c r="X626">
        <f>IF(Source!BI183=2,G626, 0)</f>
        <v>0</v>
      </c>
      <c r="Y626">
        <f>IF(Source!BI183=3,G626, 0)</f>
        <v>0</v>
      </c>
      <c r="Z626">
        <f>IF(Source!BI183=4,G626, 0)</f>
        <v>0</v>
      </c>
    </row>
    <row r="627" spans="1:26" ht="86.4">
      <c r="A627" s="27" t="str">
        <f>Source!E184</f>
        <v>77</v>
      </c>
      <c r="B627" s="28" t="str">
        <f>Source!F184</f>
        <v>53-25-1</v>
      </c>
      <c r="C627" s="25" t="str">
        <f>Source!G184</f>
        <v>Устройство металлических перемычек в стенах существующих зданий</v>
      </c>
      <c r="D627" s="30" t="str">
        <f>Source!H184</f>
        <v>1 Т МЕТАЛЛОКОНСТРУКЦИЙ ПЕРЕМЫЧЕК</v>
      </c>
      <c r="E627" s="10">
        <f>Source!I184</f>
        <v>1.9599999999999999E-2</v>
      </c>
      <c r="F627" s="32">
        <f>IF(Source!AK184&lt;&gt; 0, Source!AK184,Source!AL184 + Source!AM184 + Source!AO184)</f>
        <v>10554.59</v>
      </c>
      <c r="G627" s="31"/>
      <c r="H627" s="33"/>
      <c r="I627" s="31" t="str">
        <f>Source!BO184</f>
        <v>53-25-1</v>
      </c>
      <c r="J627" s="31"/>
      <c r="K627" s="33"/>
      <c r="L627" s="34"/>
      <c r="S627">
        <f>ROUND((Source!FX184/100)*((ROUND(Source!AF184*Source!I184, 0)+ROUND(Source!AE184*Source!I184, 0))), 0)</f>
        <v>16</v>
      </c>
      <c r="T627">
        <f>Source!X184</f>
        <v>330</v>
      </c>
      <c r="U627">
        <f>ROUND((Source!FY184/100)*((ROUND(Source!AF184*Source!I184, 0)+ROUND(Source!AE184*Source!I184, 0))), 0)</f>
        <v>16</v>
      </c>
      <c r="V627">
        <f>Source!Y184</f>
        <v>347</v>
      </c>
    </row>
    <row r="628" spans="1:26" ht="14.4">
      <c r="A628" s="27"/>
      <c r="B628" s="28"/>
      <c r="C628" s="25" t="s">
        <v>962</v>
      </c>
      <c r="D628" s="30"/>
      <c r="E628" s="10"/>
      <c r="F628" s="32">
        <f>Source!AO184</f>
        <v>1338.65</v>
      </c>
      <c r="G628" s="31" t="str">
        <f>Source!DG184</f>
        <v/>
      </c>
      <c r="H628" s="33">
        <f>ROUND(Source!AF184*Source!I184, 0)</f>
        <v>26</v>
      </c>
      <c r="I628" s="31"/>
      <c r="J628" s="31">
        <f>IF(Source!BA184&lt;&gt; 0, Source!BA184, 1)</f>
        <v>20.88</v>
      </c>
      <c r="K628" s="33">
        <f>Source!S184</f>
        <v>548</v>
      </c>
      <c r="L628" s="34"/>
      <c r="R628">
        <f>H628</f>
        <v>26</v>
      </c>
    </row>
    <row r="629" spans="1:26" ht="14.4">
      <c r="A629" s="27"/>
      <c r="B629" s="28"/>
      <c r="C629" s="25" t="s">
        <v>125</v>
      </c>
      <c r="D629" s="30"/>
      <c r="E629" s="10"/>
      <c r="F629" s="32">
        <f>Source!AM184</f>
        <v>53.7</v>
      </c>
      <c r="G629" s="31" t="str">
        <f>Source!DE184</f>
        <v/>
      </c>
      <c r="H629" s="33">
        <f>ROUND(Source!AD184*Source!I184, 0)</f>
        <v>1</v>
      </c>
      <c r="I629" s="31"/>
      <c r="J629" s="31">
        <f>IF(Source!BB184&lt;&gt; 0, Source!BB184, 1)</f>
        <v>9.09</v>
      </c>
      <c r="K629" s="33">
        <f>Source!Q184</f>
        <v>10</v>
      </c>
      <c r="L629" s="34"/>
    </row>
    <row r="630" spans="1:26" ht="14.4">
      <c r="A630" s="27"/>
      <c r="B630" s="28"/>
      <c r="C630" s="25" t="s">
        <v>963</v>
      </c>
      <c r="D630" s="30"/>
      <c r="E630" s="10"/>
      <c r="F630" s="32">
        <f>Source!AN184</f>
        <v>4.2300000000000004</v>
      </c>
      <c r="G630" s="31" t="str">
        <f>Source!DF184</f>
        <v/>
      </c>
      <c r="H630" s="33">
        <f>ROUND(Source!AE184*Source!I184, 0)</f>
        <v>0</v>
      </c>
      <c r="I630" s="31"/>
      <c r="J630" s="31">
        <f>IF(Source!BS184&lt;&gt; 0, Source!BS184, 1)</f>
        <v>20.88</v>
      </c>
      <c r="K630" s="33">
        <f>Source!R184</f>
        <v>2</v>
      </c>
      <c r="L630" s="34"/>
      <c r="R630">
        <f>H630</f>
        <v>0</v>
      </c>
    </row>
    <row r="631" spans="1:26" ht="14.4">
      <c r="A631" s="27"/>
      <c r="B631" s="28"/>
      <c r="C631" s="25" t="s">
        <v>969</v>
      </c>
      <c r="D631" s="30"/>
      <c r="E631" s="10"/>
      <c r="F631" s="32">
        <f>Source!AL184</f>
        <v>9162.24</v>
      </c>
      <c r="G631" s="31" t="str">
        <f>Source!DD184</f>
        <v/>
      </c>
      <c r="H631" s="33">
        <f>ROUND(Source!AC184*Source!I184, 0)</f>
        <v>180</v>
      </c>
      <c r="I631" s="31"/>
      <c r="J631" s="31">
        <f>IF(Source!BC184&lt;&gt; 0, Source!BC184, 1)</f>
        <v>8.4700000000000006</v>
      </c>
      <c r="K631" s="33">
        <f>Source!P184</f>
        <v>1521</v>
      </c>
      <c r="L631" s="34"/>
    </row>
    <row r="632" spans="1:26" ht="14.4">
      <c r="A632" s="27"/>
      <c r="B632" s="28"/>
      <c r="C632" s="25" t="s">
        <v>964</v>
      </c>
      <c r="D632" s="30" t="s">
        <v>965</v>
      </c>
      <c r="E632" s="10">
        <f>Source!BZ184</f>
        <v>86</v>
      </c>
      <c r="F632" s="92" t="str">
        <f>CONCATENATE(" )", Source!DL184, Source!FT184, "=", Source!FX184)</f>
        <v xml:space="preserve"> )*0,7=60,2</v>
      </c>
      <c r="G632" s="90"/>
      <c r="H632" s="33">
        <f>SUM(S627:S634)</f>
        <v>16</v>
      </c>
      <c r="I632" s="35"/>
      <c r="J632" s="25">
        <f>Source!AT184</f>
        <v>60</v>
      </c>
      <c r="K632" s="33">
        <f>SUM(T627:T634)</f>
        <v>330</v>
      </c>
      <c r="L632" s="34"/>
    </row>
    <row r="633" spans="1:26" ht="14.4">
      <c r="A633" s="27"/>
      <c r="B633" s="28"/>
      <c r="C633" s="25" t="s">
        <v>966</v>
      </c>
      <c r="D633" s="30" t="s">
        <v>965</v>
      </c>
      <c r="E633" s="10">
        <f>Source!CA184</f>
        <v>70</v>
      </c>
      <c r="F633" s="92" t="str">
        <f>CONCATENATE(" )", Source!DM184, Source!FU184, "=", Source!FY184)</f>
        <v xml:space="preserve"> )*0,9=63</v>
      </c>
      <c r="G633" s="90"/>
      <c r="H633" s="33">
        <f>SUM(U627:U634)</f>
        <v>16</v>
      </c>
      <c r="I633" s="35"/>
      <c r="J633" s="25">
        <f>Source!AU184</f>
        <v>63</v>
      </c>
      <c r="K633" s="33">
        <f>SUM(V627:V634)</f>
        <v>347</v>
      </c>
      <c r="L633" s="34"/>
    </row>
    <row r="634" spans="1:26" ht="14.4">
      <c r="A634" s="39"/>
      <c r="B634" s="40"/>
      <c r="C634" s="41" t="s">
        <v>967</v>
      </c>
      <c r="D634" s="42" t="s">
        <v>968</v>
      </c>
      <c r="E634" s="43">
        <f>Source!AQ184</f>
        <v>165.88</v>
      </c>
      <c r="F634" s="44"/>
      <c r="G634" s="45" t="str">
        <f>Source!DI184</f>
        <v/>
      </c>
      <c r="H634" s="46"/>
      <c r="I634" s="45"/>
      <c r="J634" s="45"/>
      <c r="K634" s="46"/>
      <c r="L634" s="47">
        <f>Source!U184</f>
        <v>3.2512479999999999</v>
      </c>
    </row>
    <row r="635" spans="1:26" ht="13.8">
      <c r="G635" s="93">
        <f>ROUND(Source!AC184*Source!I184, 0)+ROUND(Source!AF184*Source!I184, 0)+ROUND(Source!AD184*Source!I184, 0)+SUM(H632:H633)</f>
        <v>239</v>
      </c>
      <c r="H635" s="93"/>
      <c r="J635" s="93">
        <f>Source!O184+SUM(K632:K633)</f>
        <v>2756</v>
      </c>
      <c r="K635" s="93"/>
      <c r="L635" s="38">
        <f>Source!U184</f>
        <v>3.2512479999999999</v>
      </c>
      <c r="O635" s="37">
        <f>G635</f>
        <v>239</v>
      </c>
      <c r="P635" s="37">
        <f>J635</f>
        <v>2756</v>
      </c>
      <c r="Q635" s="48">
        <f>L635</f>
        <v>3.2512479999999999</v>
      </c>
      <c r="W635">
        <f>IF(Source!BI184&lt;=1,G635, 0)</f>
        <v>239</v>
      </c>
      <c r="X635">
        <f>IF(Source!BI184=2,G635, 0)</f>
        <v>0</v>
      </c>
      <c r="Y635">
        <f>IF(Source!BI184=3,G635, 0)</f>
        <v>0</v>
      </c>
      <c r="Z635">
        <f>IF(Source!BI184=4,G635, 0)</f>
        <v>0</v>
      </c>
    </row>
    <row r="636" spans="1:26" ht="55.8">
      <c r="A636" s="27" t="str">
        <f>Source!E185</f>
        <v>78</v>
      </c>
      <c r="B636" s="28" t="str">
        <f>Source!F185</f>
        <v>46-02-007-1</v>
      </c>
      <c r="C636" s="25" t="str">
        <f>Source!G185</f>
        <v>Кладка отдельных участков кирпичных стен и заделка проемов в кирпичных стенах при объеме кладки в одном месте до 5 м3</v>
      </c>
      <c r="D636" s="30" t="str">
        <f>Source!H185</f>
        <v>1 м3</v>
      </c>
      <c r="E636" s="10">
        <f>Source!I185</f>
        <v>0.3</v>
      </c>
      <c r="F636" s="32">
        <f>IF(Source!AK185&lt;&gt; 0, Source!AK185,Source!AL185 + Source!AM185 + Source!AO185)</f>
        <v>507.76</v>
      </c>
      <c r="G636" s="31"/>
      <c r="H636" s="33"/>
      <c r="I636" s="31" t="str">
        <f>Source!BO185</f>
        <v>46-02-007-1</v>
      </c>
      <c r="J636" s="31"/>
      <c r="K636" s="33"/>
      <c r="L636" s="34"/>
      <c r="S636">
        <f>ROUND((Source!FX185/100)*((ROUND(Source!AF185*Source!I185, 0)+ROUND(Source!AE185*Source!I185, 0))), 0)</f>
        <v>23</v>
      </c>
      <c r="T636">
        <f>Source!X185</f>
        <v>482</v>
      </c>
      <c r="U636">
        <f>ROUND((Source!FY185/100)*((ROUND(Source!AF185*Source!I185, 0)+ROUND(Source!AE185*Source!I185, 0))), 0)</f>
        <v>18</v>
      </c>
      <c r="V636">
        <f>Source!Y185</f>
        <v>377</v>
      </c>
    </row>
    <row r="637" spans="1:26" ht="14.4">
      <c r="A637" s="27"/>
      <c r="B637" s="28"/>
      <c r="C637" s="25" t="s">
        <v>962</v>
      </c>
      <c r="D637" s="30"/>
      <c r="E637" s="10"/>
      <c r="F637" s="32">
        <f>Source!AO185</f>
        <v>111.63</v>
      </c>
      <c r="G637" s="31" t="str">
        <f>Source!DG185</f>
        <v/>
      </c>
      <c r="H637" s="33">
        <f>ROUND(Source!AF185*Source!I185, 0)</f>
        <v>33</v>
      </c>
      <c r="I637" s="31"/>
      <c r="J637" s="31">
        <f>IF(Source!BA185&lt;&gt; 0, Source!BA185, 1)</f>
        <v>20.88</v>
      </c>
      <c r="K637" s="33">
        <f>Source!S185</f>
        <v>699</v>
      </c>
      <c r="L637" s="34"/>
      <c r="R637">
        <f>H637</f>
        <v>33</v>
      </c>
    </row>
    <row r="638" spans="1:26" ht="14.4">
      <c r="A638" s="27"/>
      <c r="B638" s="28"/>
      <c r="C638" s="25" t="s">
        <v>125</v>
      </c>
      <c r="D638" s="30"/>
      <c r="E638" s="10"/>
      <c r="F638" s="32">
        <f>Source!AM185</f>
        <v>2.21</v>
      </c>
      <c r="G638" s="31" t="str">
        <f>Source!DE185</f>
        <v/>
      </c>
      <c r="H638" s="33">
        <f>ROUND(Source!AD185*Source!I185, 0)</f>
        <v>1</v>
      </c>
      <c r="I638" s="31"/>
      <c r="J638" s="31">
        <f>IF(Source!BB185&lt;&gt; 0, Source!BB185, 1)</f>
        <v>4.05</v>
      </c>
      <c r="K638" s="33">
        <f>Source!Q185</f>
        <v>3</v>
      </c>
      <c r="L638" s="34"/>
    </row>
    <row r="639" spans="1:26" ht="14.4">
      <c r="A639" s="27"/>
      <c r="B639" s="28"/>
      <c r="C639" s="25" t="s">
        <v>969</v>
      </c>
      <c r="D639" s="30"/>
      <c r="E639" s="10"/>
      <c r="F639" s="32">
        <f>Source!AL185</f>
        <v>393.92</v>
      </c>
      <c r="G639" s="31" t="str">
        <f>Source!DD185</f>
        <v/>
      </c>
      <c r="H639" s="33">
        <f>ROUND(Source!AC185*Source!I185, 0)</f>
        <v>118</v>
      </c>
      <c r="I639" s="31"/>
      <c r="J639" s="31">
        <f>IF(Source!BC185&lt;&gt; 0, Source!BC185, 1)</f>
        <v>11.86</v>
      </c>
      <c r="K639" s="33">
        <f>Source!P185</f>
        <v>1402</v>
      </c>
      <c r="L639" s="34"/>
    </row>
    <row r="640" spans="1:26" ht="14.4">
      <c r="A640" s="27"/>
      <c r="B640" s="28"/>
      <c r="C640" s="25" t="s">
        <v>964</v>
      </c>
      <c r="D640" s="30" t="s">
        <v>965</v>
      </c>
      <c r="E640" s="10">
        <f>Source!BZ185</f>
        <v>110</v>
      </c>
      <c r="F640" s="92" t="str">
        <f>CONCATENATE(" )", Source!DL185, Source!FT185, "=", Source!FX185)</f>
        <v xml:space="preserve"> )*0,9*0,7=69,3</v>
      </c>
      <c r="G640" s="90"/>
      <c r="H640" s="33">
        <f>SUM(S636:S642)</f>
        <v>23</v>
      </c>
      <c r="I640" s="35"/>
      <c r="J640" s="25">
        <f>Source!AT185</f>
        <v>69</v>
      </c>
      <c r="K640" s="33">
        <f>SUM(T636:T642)</f>
        <v>482</v>
      </c>
      <c r="L640" s="34"/>
    </row>
    <row r="641" spans="1:26" ht="14.4">
      <c r="A641" s="27"/>
      <c r="B641" s="28"/>
      <c r="C641" s="25" t="s">
        <v>966</v>
      </c>
      <c r="D641" s="30" t="s">
        <v>965</v>
      </c>
      <c r="E641" s="10">
        <f>Source!CA185</f>
        <v>70</v>
      </c>
      <c r="F641" s="92" t="str">
        <f>CONCATENATE(" )", Source!DM185, Source!FU185, "=", Source!FY185)</f>
        <v xml:space="preserve"> )*0,85*0,9=53,55</v>
      </c>
      <c r="G641" s="90"/>
      <c r="H641" s="33">
        <f>SUM(U636:U642)</f>
        <v>18</v>
      </c>
      <c r="I641" s="35"/>
      <c r="J641" s="25">
        <f>Source!AU185</f>
        <v>54</v>
      </c>
      <c r="K641" s="33">
        <f>SUM(V636:V642)</f>
        <v>377</v>
      </c>
      <c r="L641" s="34"/>
    </row>
    <row r="642" spans="1:26" ht="14.4">
      <c r="A642" s="39"/>
      <c r="B642" s="40"/>
      <c r="C642" s="41" t="s">
        <v>967</v>
      </c>
      <c r="D642" s="42" t="s">
        <v>968</v>
      </c>
      <c r="E642" s="43">
        <f>Source!AQ185</f>
        <v>14.63</v>
      </c>
      <c r="F642" s="44"/>
      <c r="G642" s="45" t="str">
        <f>Source!DI185</f>
        <v/>
      </c>
      <c r="H642" s="46"/>
      <c r="I642" s="45"/>
      <c r="J642" s="45"/>
      <c r="K642" s="46"/>
      <c r="L642" s="47">
        <f>Source!U185</f>
        <v>4.3890000000000002</v>
      </c>
    </row>
    <row r="643" spans="1:26" ht="13.8">
      <c r="G643" s="93">
        <f>ROUND(Source!AC185*Source!I185, 0)+ROUND(Source!AF185*Source!I185, 0)+ROUND(Source!AD185*Source!I185, 0)+SUM(H640:H641)</f>
        <v>193</v>
      </c>
      <c r="H643" s="93"/>
      <c r="J643" s="93">
        <f>Source!O185+SUM(K640:K641)</f>
        <v>2963</v>
      </c>
      <c r="K643" s="93"/>
      <c r="L643" s="38">
        <f>Source!U185</f>
        <v>4.3890000000000002</v>
      </c>
      <c r="O643" s="37">
        <f>G643</f>
        <v>193</v>
      </c>
      <c r="P643" s="37">
        <f>J643</f>
        <v>2963</v>
      </c>
      <c r="Q643" s="48">
        <f>L643</f>
        <v>4.3890000000000002</v>
      </c>
      <c r="W643">
        <f>IF(Source!BI185&lt;=1,G643, 0)</f>
        <v>193</v>
      </c>
      <c r="X643">
        <f>IF(Source!BI185=2,G643, 0)</f>
        <v>0</v>
      </c>
      <c r="Y643">
        <f>IF(Source!BI185=3,G643, 0)</f>
        <v>0</v>
      </c>
      <c r="Z643">
        <f>IF(Source!BI185=4,G643, 0)</f>
        <v>0</v>
      </c>
    </row>
    <row r="644" spans="1:26" ht="86.4">
      <c r="A644" s="27" t="str">
        <f>Source!E186</f>
        <v>79</v>
      </c>
      <c r="B644" s="28" t="str">
        <f>Source!F186</f>
        <v>15-02-016-3</v>
      </c>
      <c r="C644" s="25" t="str">
        <f>Source!G186</f>
        <v>Штукатурка поверхностей внутри здания цементно-известковым или цементным раствором по камню и бетону улучшенная стен</v>
      </c>
      <c r="D644" s="30" t="str">
        <f>Source!H186</f>
        <v>100 м2 оштукатуриваемой поверхности</v>
      </c>
      <c r="E644" s="10">
        <f>Source!I186</f>
        <v>6.0000000000000001E-3</v>
      </c>
      <c r="F644" s="32">
        <f>IF(Source!AK186&lt;&gt; 0, Source!AK186,Source!AL186 + Source!AM186 + Source!AO186)</f>
        <v>1769.98</v>
      </c>
      <c r="G644" s="31"/>
      <c r="H644" s="33"/>
      <c r="I644" s="31" t="str">
        <f>Source!BO186</f>
        <v>15-02-016-3</v>
      </c>
      <c r="J644" s="31"/>
      <c r="K644" s="33"/>
      <c r="L644" s="34"/>
      <c r="S644">
        <f>ROUND((Source!FX186/100)*((ROUND(Source!AF186*Source!I186, 0)+ROUND(Source!AE186*Source!I186, 0))), 0)</f>
        <v>3</v>
      </c>
      <c r="T644">
        <f>Source!X186</f>
        <v>77</v>
      </c>
      <c r="U644">
        <f>ROUND((Source!FY186/100)*((ROUND(Source!AF186*Source!I186, 0)+ROUND(Source!AE186*Source!I186, 0))), 0)</f>
        <v>2</v>
      </c>
      <c r="V644">
        <f>Source!Y186</f>
        <v>49</v>
      </c>
    </row>
    <row r="645" spans="1:26">
      <c r="C645" s="49" t="str">
        <f>"Объем: "&amp;Source!I186&amp;"=0,6/"&amp;"100"</f>
        <v>Объем: 0,006=0,6/100</v>
      </c>
    </row>
    <row r="646" spans="1:26" ht="14.4">
      <c r="A646" s="27"/>
      <c r="B646" s="28"/>
      <c r="C646" s="25" t="s">
        <v>962</v>
      </c>
      <c r="D646" s="30"/>
      <c r="E646" s="10"/>
      <c r="F646" s="32">
        <f>Source!AO186</f>
        <v>754.53</v>
      </c>
      <c r="G646" s="31" t="str">
        <f>Source!DG186</f>
        <v>)*1,15</v>
      </c>
      <c r="H646" s="33">
        <f>ROUND(Source!AF186*Source!I186, 0)</f>
        <v>5</v>
      </c>
      <c r="I646" s="31"/>
      <c r="J646" s="31">
        <f>IF(Source!BA186&lt;&gt; 0, Source!BA186, 1)</f>
        <v>20.88</v>
      </c>
      <c r="K646" s="33">
        <f>Source!S186</f>
        <v>109</v>
      </c>
      <c r="L646" s="34"/>
      <c r="R646">
        <f>H646</f>
        <v>5</v>
      </c>
    </row>
    <row r="647" spans="1:26" ht="14.4">
      <c r="A647" s="27"/>
      <c r="B647" s="28"/>
      <c r="C647" s="25" t="s">
        <v>125</v>
      </c>
      <c r="D647" s="30"/>
      <c r="E647" s="10"/>
      <c r="F647" s="32">
        <f>Source!AM186</f>
        <v>107.34</v>
      </c>
      <c r="G647" s="31" t="str">
        <f>Source!DE186</f>
        <v>)*1,25</v>
      </c>
      <c r="H647" s="33">
        <f>ROUND(Source!AD186*Source!I186, 0)</f>
        <v>1</v>
      </c>
      <c r="I647" s="31"/>
      <c r="J647" s="31">
        <f>IF(Source!BB186&lt;&gt; 0, Source!BB186, 1)</f>
        <v>14.32</v>
      </c>
      <c r="K647" s="33">
        <f>Source!Q186</f>
        <v>12</v>
      </c>
      <c r="L647" s="34"/>
    </row>
    <row r="648" spans="1:26" ht="14.4">
      <c r="A648" s="27"/>
      <c r="B648" s="28"/>
      <c r="C648" s="25" t="s">
        <v>963</v>
      </c>
      <c r="D648" s="30"/>
      <c r="E648" s="10"/>
      <c r="F648" s="32">
        <f>Source!AN186</f>
        <v>53.78</v>
      </c>
      <c r="G648" s="31" t="str">
        <f>Source!DF186</f>
        <v>)*1,25</v>
      </c>
      <c r="H648" s="33">
        <f>ROUND(Source!AE186*Source!I186, 0)</f>
        <v>0</v>
      </c>
      <c r="I648" s="31"/>
      <c r="J648" s="31">
        <f>IF(Source!BS186&lt;&gt; 0, Source!BS186, 1)</f>
        <v>20.88</v>
      </c>
      <c r="K648" s="33">
        <f>Source!R186</f>
        <v>8</v>
      </c>
      <c r="L648" s="34"/>
      <c r="R648">
        <f>H648</f>
        <v>0</v>
      </c>
    </row>
    <row r="649" spans="1:26" ht="14.4">
      <c r="A649" s="27"/>
      <c r="B649" s="28"/>
      <c r="C649" s="25" t="s">
        <v>969</v>
      </c>
      <c r="D649" s="30"/>
      <c r="E649" s="10"/>
      <c r="F649" s="32">
        <f>Source!AL186</f>
        <v>908.11</v>
      </c>
      <c r="G649" s="31" t="str">
        <f>Source!DD186</f>
        <v/>
      </c>
      <c r="H649" s="33">
        <f>ROUND(Source!AC186*Source!I186, 0)</f>
        <v>5</v>
      </c>
      <c r="I649" s="31"/>
      <c r="J649" s="31">
        <f>IF(Source!BC186&lt;&gt; 0, Source!BC186, 1)</f>
        <v>8.1300000000000008</v>
      </c>
      <c r="K649" s="33">
        <f>Source!P186</f>
        <v>44</v>
      </c>
      <c r="L649" s="34"/>
    </row>
    <row r="650" spans="1:26" ht="14.4">
      <c r="A650" s="27"/>
      <c r="B650" s="28"/>
      <c r="C650" s="25" t="s">
        <v>964</v>
      </c>
      <c r="D650" s="30" t="s">
        <v>965</v>
      </c>
      <c r="E650" s="10">
        <f>Source!BZ186</f>
        <v>105</v>
      </c>
      <c r="F650" s="92" t="str">
        <f>CONCATENATE(" )", Source!DL186, Source!FT186, "=", Source!FX186)</f>
        <v xml:space="preserve"> )*0,9*0,7=66,15</v>
      </c>
      <c r="G650" s="90"/>
      <c r="H650" s="33">
        <f>SUM(S644:S652)</f>
        <v>3</v>
      </c>
      <c r="I650" s="35"/>
      <c r="J650" s="25">
        <f>Source!AT186</f>
        <v>66</v>
      </c>
      <c r="K650" s="33">
        <f>SUM(T644:T652)</f>
        <v>77</v>
      </c>
      <c r="L650" s="34"/>
    </row>
    <row r="651" spans="1:26" ht="14.4">
      <c r="A651" s="27"/>
      <c r="B651" s="28"/>
      <c r="C651" s="25" t="s">
        <v>966</v>
      </c>
      <c r="D651" s="30" t="s">
        <v>965</v>
      </c>
      <c r="E651" s="10">
        <f>Source!CA186</f>
        <v>55</v>
      </c>
      <c r="F651" s="92" t="str">
        <f>CONCATENATE(" )", Source!DM186, Source!FU186, "=", Source!FY186)</f>
        <v xml:space="preserve"> )*0,85*0,9=42,075</v>
      </c>
      <c r="G651" s="90"/>
      <c r="H651" s="33">
        <f>SUM(U644:U652)</f>
        <v>2</v>
      </c>
      <c r="I651" s="35"/>
      <c r="J651" s="25">
        <f>Source!AU186</f>
        <v>42</v>
      </c>
      <c r="K651" s="33">
        <f>SUM(V644:V652)</f>
        <v>49</v>
      </c>
      <c r="L651" s="34"/>
    </row>
    <row r="652" spans="1:26" ht="14.4">
      <c r="A652" s="39"/>
      <c r="B652" s="40"/>
      <c r="C652" s="41" t="s">
        <v>967</v>
      </c>
      <c r="D652" s="42" t="s">
        <v>968</v>
      </c>
      <c r="E652" s="43">
        <f>Source!AQ186</f>
        <v>85.84</v>
      </c>
      <c r="F652" s="44"/>
      <c r="G652" s="45" t="str">
        <f>Source!DI186</f>
        <v>)*1,15</v>
      </c>
      <c r="H652" s="46"/>
      <c r="I652" s="45"/>
      <c r="J652" s="45"/>
      <c r="K652" s="46"/>
      <c r="L652" s="47">
        <f>Source!U186</f>
        <v>0.59229599999999993</v>
      </c>
    </row>
    <row r="653" spans="1:26" ht="13.8">
      <c r="G653" s="93">
        <f>ROUND(Source!AC186*Source!I186, 0)+ROUND(Source!AF186*Source!I186, 0)+ROUND(Source!AD186*Source!I186, 0)+SUM(H650:H651)</f>
        <v>16</v>
      </c>
      <c r="H653" s="93"/>
      <c r="J653" s="93">
        <f>Source!O186+SUM(K650:K651)</f>
        <v>291</v>
      </c>
      <c r="K653" s="93"/>
      <c r="L653" s="38">
        <f>Source!U186</f>
        <v>0.59229599999999993</v>
      </c>
      <c r="O653" s="37">
        <f>G653</f>
        <v>16</v>
      </c>
      <c r="P653" s="37">
        <f>J653</f>
        <v>291</v>
      </c>
      <c r="Q653" s="48">
        <f>L653</f>
        <v>0.59229599999999993</v>
      </c>
      <c r="W653">
        <f>IF(Source!BI186&lt;=1,G653, 0)</f>
        <v>16</v>
      </c>
      <c r="X653">
        <f>IF(Source!BI186=2,G653, 0)</f>
        <v>0</v>
      </c>
      <c r="Y653">
        <f>IF(Source!BI186=3,G653, 0)</f>
        <v>0</v>
      </c>
      <c r="Z653">
        <f>IF(Source!BI186=4,G653, 0)</f>
        <v>0</v>
      </c>
    </row>
    <row r="654" spans="1:26" ht="28.8">
      <c r="A654" s="27" t="str">
        <f>Source!E187</f>
        <v>80</v>
      </c>
      <c r="B654" s="28" t="str">
        <f>Source!F187</f>
        <v>11-01-011-1</v>
      </c>
      <c r="C654" s="25" t="str">
        <f>Source!G187</f>
        <v>Устройство стяжек цементных толщиной 20 мм</v>
      </c>
      <c r="D654" s="30" t="str">
        <f>Source!H187</f>
        <v>100 м2 стяжки</v>
      </c>
      <c r="E654" s="10">
        <f>Source!I187</f>
        <v>7.1999999999999998E-3</v>
      </c>
      <c r="F654" s="32">
        <f>IF(Source!AK187&lt;&gt; 0, Source!AK187,Source!AL187 + Source!AM187 + Source!AO187)</f>
        <v>1311.85</v>
      </c>
      <c r="G654" s="31"/>
      <c r="H654" s="33"/>
      <c r="I654" s="31" t="str">
        <f>Source!BO187</f>
        <v>11-01-011-1</v>
      </c>
      <c r="J654" s="31"/>
      <c r="K654" s="33"/>
      <c r="L654" s="34"/>
      <c r="S654">
        <f>ROUND((Source!FX187/100)*((ROUND(Source!AF187*Source!I187, 0)+ROUND(Source!AE187*Source!I187, 0))), 0)</f>
        <v>2</v>
      </c>
      <c r="T654">
        <f>Source!X187</f>
        <v>42</v>
      </c>
      <c r="U654">
        <f>ROUND((Source!FY187/100)*((ROUND(Source!AF187*Source!I187, 0)+ROUND(Source!AE187*Source!I187, 0))), 0)</f>
        <v>1</v>
      </c>
      <c r="V654">
        <f>Source!Y187</f>
        <v>31</v>
      </c>
    </row>
    <row r="655" spans="1:26">
      <c r="C655" s="49" t="str">
        <f>"Объем: "&amp;Source!I187&amp;"=0,72/"&amp;"100"</f>
        <v>Объем: 0,0072=0,72/100</v>
      </c>
    </row>
    <row r="656" spans="1:26" ht="14.4">
      <c r="A656" s="27"/>
      <c r="B656" s="28"/>
      <c r="C656" s="25" t="s">
        <v>962</v>
      </c>
      <c r="D656" s="30"/>
      <c r="E656" s="10"/>
      <c r="F656" s="32">
        <f>Source!AO187</f>
        <v>293.56</v>
      </c>
      <c r="G656" s="31" t="str">
        <f>Source!DG187</f>
        <v>)*1,15</v>
      </c>
      <c r="H656" s="33">
        <f>ROUND(Source!AF187*Source!I187, 0)</f>
        <v>2</v>
      </c>
      <c r="I656" s="31"/>
      <c r="J656" s="31">
        <f>IF(Source!BA187&lt;&gt; 0, Source!BA187, 1)</f>
        <v>20.88</v>
      </c>
      <c r="K656" s="33">
        <f>Source!S187</f>
        <v>51</v>
      </c>
      <c r="L656" s="34"/>
      <c r="R656">
        <f>H656</f>
        <v>2</v>
      </c>
    </row>
    <row r="657" spans="1:26" ht="14.4">
      <c r="A657" s="27"/>
      <c r="B657" s="28"/>
      <c r="C657" s="25" t="s">
        <v>125</v>
      </c>
      <c r="D657" s="30"/>
      <c r="E657" s="10"/>
      <c r="F657" s="32">
        <f>Source!AM187</f>
        <v>46.74</v>
      </c>
      <c r="G657" s="31" t="str">
        <f>Source!DE187</f>
        <v>)*1,25</v>
      </c>
      <c r="H657" s="33">
        <f>ROUND(Source!AD187*Source!I187, 0)</f>
        <v>0</v>
      </c>
      <c r="I657" s="31"/>
      <c r="J657" s="31">
        <f>IF(Source!BB187&lt;&gt; 0, Source!BB187, 1)</f>
        <v>9.51</v>
      </c>
      <c r="K657" s="33">
        <f>Source!Q187</f>
        <v>4</v>
      </c>
      <c r="L657" s="34"/>
    </row>
    <row r="658" spans="1:26" ht="14.4">
      <c r="A658" s="27"/>
      <c r="B658" s="28"/>
      <c r="C658" s="25" t="s">
        <v>963</v>
      </c>
      <c r="D658" s="30"/>
      <c r="E658" s="10"/>
      <c r="F658" s="32">
        <f>Source!AN187</f>
        <v>15.37</v>
      </c>
      <c r="G658" s="31" t="str">
        <f>Source!DF187</f>
        <v>)*1,25</v>
      </c>
      <c r="H658" s="33">
        <f>ROUND(Source!AE187*Source!I187, 0)</f>
        <v>0</v>
      </c>
      <c r="I658" s="31"/>
      <c r="J658" s="31">
        <f>IF(Source!BS187&lt;&gt; 0, Source!BS187, 1)</f>
        <v>20.88</v>
      </c>
      <c r="K658" s="33">
        <f>Source!R187</f>
        <v>3</v>
      </c>
      <c r="L658" s="34"/>
      <c r="R658">
        <f>H658</f>
        <v>0</v>
      </c>
    </row>
    <row r="659" spans="1:26" ht="14.4">
      <c r="A659" s="27"/>
      <c r="B659" s="28"/>
      <c r="C659" s="25" t="s">
        <v>969</v>
      </c>
      <c r="D659" s="30"/>
      <c r="E659" s="10"/>
      <c r="F659" s="32">
        <f>Source!AL187</f>
        <v>971.55</v>
      </c>
      <c r="G659" s="31" t="str">
        <f>Source!DD187</f>
        <v/>
      </c>
      <c r="H659" s="33">
        <f>ROUND(Source!AC187*Source!I187, 0)</f>
        <v>7</v>
      </c>
      <c r="I659" s="31"/>
      <c r="J659" s="31">
        <f>IF(Source!BC187&lt;&gt; 0, Source!BC187, 1)</f>
        <v>7.84</v>
      </c>
      <c r="K659" s="33">
        <f>Source!P187</f>
        <v>55</v>
      </c>
      <c r="L659" s="34"/>
    </row>
    <row r="660" spans="1:26" ht="14.4">
      <c r="A660" s="27"/>
      <c r="B660" s="28"/>
      <c r="C660" s="25" t="s">
        <v>964</v>
      </c>
      <c r="D660" s="30" t="s">
        <v>965</v>
      </c>
      <c r="E660" s="10">
        <f>Source!BZ187</f>
        <v>123</v>
      </c>
      <c r="F660" s="92" t="str">
        <f>CONCATENATE(" )", Source!DL187, Source!FT187, "=", Source!FX187)</f>
        <v xml:space="preserve"> )*0,9*0,7=77,49</v>
      </c>
      <c r="G660" s="90"/>
      <c r="H660" s="33">
        <f>SUM(S654:S662)</f>
        <v>2</v>
      </c>
      <c r="I660" s="35"/>
      <c r="J660" s="25">
        <f>Source!AT187</f>
        <v>77</v>
      </c>
      <c r="K660" s="33">
        <f>SUM(T654:T662)</f>
        <v>42</v>
      </c>
      <c r="L660" s="34"/>
    </row>
    <row r="661" spans="1:26" ht="14.4">
      <c r="A661" s="27"/>
      <c r="B661" s="28"/>
      <c r="C661" s="25" t="s">
        <v>966</v>
      </c>
      <c r="D661" s="30" t="s">
        <v>965</v>
      </c>
      <c r="E661" s="10">
        <f>Source!CA187</f>
        <v>75</v>
      </c>
      <c r="F661" s="92" t="str">
        <f>CONCATENATE(" )", Source!DM187, Source!FU187, "=", Source!FY187)</f>
        <v xml:space="preserve"> )*0,85*0,9=57,375</v>
      </c>
      <c r="G661" s="90"/>
      <c r="H661" s="33">
        <f>SUM(U654:U662)</f>
        <v>1</v>
      </c>
      <c r="I661" s="35"/>
      <c r="J661" s="25">
        <f>Source!AU187</f>
        <v>57</v>
      </c>
      <c r="K661" s="33">
        <f>SUM(V654:V662)</f>
        <v>31</v>
      </c>
      <c r="L661" s="34"/>
    </row>
    <row r="662" spans="1:26" ht="14.4">
      <c r="A662" s="39"/>
      <c r="B662" s="40"/>
      <c r="C662" s="41" t="s">
        <v>967</v>
      </c>
      <c r="D662" s="42" t="s">
        <v>968</v>
      </c>
      <c r="E662" s="43">
        <f>Source!AQ187</f>
        <v>39.51</v>
      </c>
      <c r="F662" s="44"/>
      <c r="G662" s="45" t="str">
        <f>Source!DI187</f>
        <v>)*1,15</v>
      </c>
      <c r="H662" s="46"/>
      <c r="I662" s="45"/>
      <c r="J662" s="45"/>
      <c r="K662" s="46"/>
      <c r="L662" s="47">
        <f>Source!U187</f>
        <v>0.32714279999999996</v>
      </c>
    </row>
    <row r="663" spans="1:26" ht="13.8">
      <c r="G663" s="93">
        <f>ROUND(Source!AC187*Source!I187, 0)+ROUND(Source!AF187*Source!I187, 0)+ROUND(Source!AD187*Source!I187, 0)+SUM(H660:H661)</f>
        <v>12</v>
      </c>
      <c r="H663" s="93"/>
      <c r="J663" s="93">
        <f>Source!O187+SUM(K660:K661)</f>
        <v>183</v>
      </c>
      <c r="K663" s="93"/>
      <c r="L663" s="38">
        <f>Source!U187</f>
        <v>0.32714279999999996</v>
      </c>
      <c r="O663" s="37">
        <f>G663</f>
        <v>12</v>
      </c>
      <c r="P663" s="37">
        <f>J663</f>
        <v>183</v>
      </c>
      <c r="Q663" s="48">
        <f>L663</f>
        <v>0.32714279999999996</v>
      </c>
      <c r="W663">
        <f>IF(Source!BI187&lt;=1,G663, 0)</f>
        <v>12</v>
      </c>
      <c r="X663">
        <f>IF(Source!BI187=2,G663, 0)</f>
        <v>0</v>
      </c>
      <c r="Y663">
        <f>IF(Source!BI187=3,G663, 0)</f>
        <v>0</v>
      </c>
      <c r="Z663">
        <f>IF(Source!BI187=4,G663, 0)</f>
        <v>0</v>
      </c>
    </row>
    <row r="664" spans="1:26" ht="43.2">
      <c r="A664" s="27" t="str">
        <f>Source!E188</f>
        <v>81</v>
      </c>
      <c r="B664" s="28" t="str">
        <f>Source!F188</f>
        <v>11-01-047-1</v>
      </c>
      <c r="C664" s="25" t="str">
        <f>Source!G188</f>
        <v>Устройство покрытий из плит керамогранитных размером 40х40 см</v>
      </c>
      <c r="D664" s="30" t="str">
        <f>Source!H188</f>
        <v>100 м2 покрытия</v>
      </c>
      <c r="E664" s="10">
        <f>Source!I188</f>
        <v>7.1999999999999998E-3</v>
      </c>
      <c r="F664" s="32">
        <f>IF(Source!AK188&lt;&gt; 0, Source!AK188,Source!AL188 + Source!AM188 + Source!AO188)</f>
        <v>21676.95</v>
      </c>
      <c r="G664" s="31"/>
      <c r="H664" s="33"/>
      <c r="I664" s="31" t="str">
        <f>Source!BO188</f>
        <v>11-01-047-1</v>
      </c>
      <c r="J664" s="31"/>
      <c r="K664" s="33"/>
      <c r="L664" s="34"/>
      <c r="S664">
        <f>ROUND((Source!FX188/100)*((ROUND(Source!AF188*Source!I188, 0)+ROUND(Source!AE188*Source!I188, 0))), 0)</f>
        <v>16</v>
      </c>
      <c r="T664">
        <f>Source!X188</f>
        <v>340</v>
      </c>
      <c r="U664">
        <f>ROUND((Source!FY188/100)*((ROUND(Source!AF188*Source!I188, 0)+ROUND(Source!AE188*Source!I188, 0))), 0)</f>
        <v>12</v>
      </c>
      <c r="V664">
        <f>Source!Y188</f>
        <v>251</v>
      </c>
    </row>
    <row r="665" spans="1:26">
      <c r="C665" s="49" t="str">
        <f>"Объем: "&amp;Source!I188&amp;"=0,72/"&amp;"100"</f>
        <v>Объем: 0,0072=0,72/100</v>
      </c>
    </row>
    <row r="666" spans="1:26" ht="14.4">
      <c r="A666" s="27"/>
      <c r="B666" s="28"/>
      <c r="C666" s="25" t="s">
        <v>962</v>
      </c>
      <c r="D666" s="30"/>
      <c r="E666" s="10"/>
      <c r="F666" s="32">
        <f>Source!AO188</f>
        <v>2536.13</v>
      </c>
      <c r="G666" s="31" t="str">
        <f>Source!DG188</f>
        <v>)*1,15</v>
      </c>
      <c r="H666" s="33">
        <f>ROUND(Source!AF188*Source!I188, 0)</f>
        <v>21</v>
      </c>
      <c r="I666" s="31"/>
      <c r="J666" s="31">
        <f>IF(Source!BA188&lt;&gt; 0, Source!BA188, 1)</f>
        <v>20.88</v>
      </c>
      <c r="K666" s="33">
        <f>Source!S188</f>
        <v>438</v>
      </c>
      <c r="L666" s="34"/>
      <c r="R666">
        <f>H666</f>
        <v>21</v>
      </c>
    </row>
    <row r="667" spans="1:26" ht="14.4">
      <c r="A667" s="27"/>
      <c r="B667" s="28"/>
      <c r="C667" s="25" t="s">
        <v>125</v>
      </c>
      <c r="D667" s="30"/>
      <c r="E667" s="10"/>
      <c r="F667" s="32">
        <f>Source!AM188</f>
        <v>23.65</v>
      </c>
      <c r="G667" s="31" t="str">
        <f>Source!DE188</f>
        <v>)*1,25</v>
      </c>
      <c r="H667" s="33">
        <f>ROUND(Source!AD188*Source!I188, 0)</f>
        <v>0</v>
      </c>
      <c r="I667" s="31"/>
      <c r="J667" s="31">
        <f>IF(Source!BB188&lt;&gt; 0, Source!BB188, 1)</f>
        <v>16.059999999999999</v>
      </c>
      <c r="K667" s="33">
        <f>Source!Q188</f>
        <v>3</v>
      </c>
      <c r="L667" s="34"/>
    </row>
    <row r="668" spans="1:26" ht="14.4">
      <c r="A668" s="27"/>
      <c r="B668" s="28"/>
      <c r="C668" s="25" t="s">
        <v>963</v>
      </c>
      <c r="D668" s="30"/>
      <c r="E668" s="10"/>
      <c r="F668" s="32">
        <f>Source!AN188</f>
        <v>15.55</v>
      </c>
      <c r="G668" s="31" t="str">
        <f>Source!DF188</f>
        <v>)*1,25</v>
      </c>
      <c r="H668" s="33">
        <f>ROUND(Source!AE188*Source!I188, 0)</f>
        <v>0</v>
      </c>
      <c r="I668" s="31"/>
      <c r="J668" s="31">
        <f>IF(Source!BS188&lt;&gt; 0, Source!BS188, 1)</f>
        <v>20.88</v>
      </c>
      <c r="K668" s="33">
        <f>Source!R188</f>
        <v>3</v>
      </c>
      <c r="L668" s="34"/>
      <c r="R668">
        <f>H668</f>
        <v>0</v>
      </c>
    </row>
    <row r="669" spans="1:26" ht="14.4">
      <c r="A669" s="27"/>
      <c r="B669" s="28"/>
      <c r="C669" s="25" t="s">
        <v>969</v>
      </c>
      <c r="D669" s="30"/>
      <c r="E669" s="10"/>
      <c r="F669" s="32">
        <f>Source!AL188</f>
        <v>19117.169999999998</v>
      </c>
      <c r="G669" s="31" t="str">
        <f>Source!DD188</f>
        <v/>
      </c>
      <c r="H669" s="33">
        <f>ROUND(Source!AC188*Source!I188, 0)</f>
        <v>138</v>
      </c>
      <c r="I669" s="31"/>
      <c r="J669" s="31">
        <f>IF(Source!BC188&lt;&gt; 0, Source!BC188, 1)</f>
        <v>3.22</v>
      </c>
      <c r="K669" s="33">
        <f>Source!P188</f>
        <v>443</v>
      </c>
      <c r="L669" s="34"/>
    </row>
    <row r="670" spans="1:26" ht="14.4">
      <c r="A670" s="27"/>
      <c r="B670" s="28"/>
      <c r="C670" s="25" t="s">
        <v>964</v>
      </c>
      <c r="D670" s="30" t="s">
        <v>965</v>
      </c>
      <c r="E670" s="10">
        <f>Source!BZ188</f>
        <v>123</v>
      </c>
      <c r="F670" s="92" t="str">
        <f>CONCATENATE(" )", Source!DL188, Source!FT188, "=", Source!FX188)</f>
        <v xml:space="preserve"> )*0,9*0,7=77,49</v>
      </c>
      <c r="G670" s="90"/>
      <c r="H670" s="33">
        <f>SUM(S664:S672)</f>
        <v>16</v>
      </c>
      <c r="I670" s="35"/>
      <c r="J670" s="25">
        <f>Source!AT188</f>
        <v>77</v>
      </c>
      <c r="K670" s="33">
        <f>SUM(T664:T672)</f>
        <v>340</v>
      </c>
      <c r="L670" s="34"/>
    </row>
    <row r="671" spans="1:26" ht="14.4">
      <c r="A671" s="27"/>
      <c r="B671" s="28"/>
      <c r="C671" s="25" t="s">
        <v>966</v>
      </c>
      <c r="D671" s="30" t="s">
        <v>965</v>
      </c>
      <c r="E671" s="10">
        <f>Source!CA188</f>
        <v>75</v>
      </c>
      <c r="F671" s="92" t="str">
        <f>CONCATENATE(" )", Source!DM188, Source!FU188, "=", Source!FY188)</f>
        <v xml:space="preserve"> )*0,85*0,9=57,375</v>
      </c>
      <c r="G671" s="90"/>
      <c r="H671" s="33">
        <f>SUM(U664:U672)</f>
        <v>12</v>
      </c>
      <c r="I671" s="35"/>
      <c r="J671" s="25">
        <f>Source!AU188</f>
        <v>57</v>
      </c>
      <c r="K671" s="33">
        <f>SUM(V664:V672)</f>
        <v>251</v>
      </c>
      <c r="L671" s="34"/>
    </row>
    <row r="672" spans="1:26" ht="14.4">
      <c r="A672" s="39"/>
      <c r="B672" s="40"/>
      <c r="C672" s="41" t="s">
        <v>967</v>
      </c>
      <c r="D672" s="42" t="s">
        <v>968</v>
      </c>
      <c r="E672" s="43">
        <f>Source!AQ188</f>
        <v>310.42</v>
      </c>
      <c r="F672" s="44"/>
      <c r="G672" s="45" t="str">
        <f>Source!DI188</f>
        <v>)*1,15</v>
      </c>
      <c r="H672" s="46"/>
      <c r="I672" s="45"/>
      <c r="J672" s="45"/>
      <c r="K672" s="46"/>
      <c r="L672" s="47">
        <f>Source!U188</f>
        <v>2.5702775999999998</v>
      </c>
    </row>
    <row r="673" spans="1:39" ht="13.8">
      <c r="G673" s="93">
        <f>ROUND(Source!AC188*Source!I188, 0)+ROUND(Source!AF188*Source!I188, 0)+ROUND(Source!AD188*Source!I188, 0)+SUM(H670:H671)</f>
        <v>187</v>
      </c>
      <c r="H673" s="93"/>
      <c r="J673" s="93">
        <f>Source!O188+SUM(K670:K671)</f>
        <v>1475</v>
      </c>
      <c r="K673" s="93"/>
      <c r="L673" s="38">
        <f>Source!U188</f>
        <v>2.5702775999999998</v>
      </c>
      <c r="O673" s="37">
        <f>G673</f>
        <v>187</v>
      </c>
      <c r="P673" s="37">
        <f>J673</f>
        <v>1475</v>
      </c>
      <c r="Q673" s="48">
        <f>L673</f>
        <v>2.5702775999999998</v>
      </c>
      <c r="W673">
        <f>IF(Source!BI188&lt;=1,G673, 0)</f>
        <v>187</v>
      </c>
      <c r="X673">
        <f>IF(Source!BI188=2,G673, 0)</f>
        <v>0</v>
      </c>
      <c r="Y673">
        <f>IF(Source!BI188=3,G673, 0)</f>
        <v>0</v>
      </c>
      <c r="Z673">
        <f>IF(Source!BI188=4,G673, 0)</f>
        <v>0</v>
      </c>
    </row>
    <row r="675" spans="1:39" ht="13.8">
      <c r="A675" s="96" t="s">
        <v>1012</v>
      </c>
      <c r="B675" s="96"/>
      <c r="C675" s="96"/>
      <c r="D675" s="96"/>
      <c r="E675" s="96"/>
      <c r="F675" s="96"/>
      <c r="G675" s="93">
        <f>SUM(O338:O674)</f>
        <v>31258</v>
      </c>
      <c r="H675" s="84"/>
      <c r="I675" s="50"/>
      <c r="J675" s="93">
        <f>SUM(P338:P674)</f>
        <v>225175</v>
      </c>
      <c r="K675" s="84"/>
      <c r="L675" s="38">
        <f>SUM(Q338:Q674)</f>
        <v>326.88007849999985</v>
      </c>
      <c r="AG675" s="51" t="str">
        <f>CONCATENATE("Итого по разделу: ", Source!G190)</f>
        <v>Итого по разделу: Склад аптеки</v>
      </c>
    </row>
    <row r="677" spans="1:39" ht="13.8">
      <c r="A677" s="96" t="s">
        <v>1008</v>
      </c>
      <c r="B677" s="96"/>
      <c r="C677" s="96"/>
      <c r="D677" s="96"/>
      <c r="E677" s="96"/>
      <c r="F677" s="96"/>
      <c r="G677" s="93">
        <f>SUM(O30:O676)</f>
        <v>60602</v>
      </c>
      <c r="H677" s="84"/>
      <c r="I677" s="50"/>
      <c r="J677" s="93">
        <f>SUM(P30:P676)</f>
        <v>342495</v>
      </c>
      <c r="K677" s="84"/>
      <c r="L677" s="38">
        <f>SUM(Q30:Q676)</f>
        <v>468.74874079999984</v>
      </c>
      <c r="AG677" s="51" t="str">
        <f>CONCATENATE("Итого по локальной смете: ", Source!G220)</f>
        <v>Итого по локальной смете: Санузел для инвалидов</v>
      </c>
    </row>
    <row r="679" spans="1:39" ht="13.8">
      <c r="C679" s="25" t="str">
        <f>Source!H248</f>
        <v>ОЗП</v>
      </c>
      <c r="J679" s="97">
        <f>Source!F248</f>
        <v>81371</v>
      </c>
      <c r="K679" s="97"/>
    </row>
    <row r="680" spans="1:39" ht="13.8">
      <c r="C680" s="25" t="str">
        <f>Source!H249</f>
        <v>ЗПМ (справочно)</v>
      </c>
      <c r="J680" s="97">
        <f>Source!F249</f>
        <v>2073</v>
      </c>
      <c r="K680" s="97"/>
    </row>
    <row r="681" spans="1:39" ht="13.8">
      <c r="C681" s="25" t="str">
        <f>Source!H250</f>
        <v>ЭММ, в т.ч. ЗПМ</v>
      </c>
      <c r="J681" s="97">
        <f>Source!F250</f>
        <v>4541</v>
      </c>
      <c r="K681" s="97"/>
    </row>
    <row r="682" spans="1:39" ht="13.8">
      <c r="C682" s="25" t="str">
        <f>Source!H251</f>
        <v>Стоимость материалов</v>
      </c>
      <c r="J682" s="97">
        <f>Source!F251</f>
        <v>156144</v>
      </c>
      <c r="K682" s="97"/>
    </row>
    <row r="683" spans="1:39" ht="13.8">
      <c r="C683" s="25" t="str">
        <f>Source!H252</f>
        <v>НР</v>
      </c>
      <c r="J683" s="97">
        <f>Source!F252</f>
        <v>58307</v>
      </c>
      <c r="K683" s="97"/>
    </row>
    <row r="684" spans="1:39" ht="13.8">
      <c r="C684" s="25" t="str">
        <f>Source!H253</f>
        <v>СП</v>
      </c>
      <c r="J684" s="97">
        <f>Source!F253</f>
        <v>42132</v>
      </c>
      <c r="K684" s="97"/>
    </row>
    <row r="685" spans="1:39" ht="14.4">
      <c r="C685" s="25" t="str">
        <f>Source!H254</f>
        <v>Всего</v>
      </c>
      <c r="D685" s="101" t="str">
        <f>"="&amp;Source!F248&amp;"+"&amp;""&amp;Source!F250&amp;"+"&amp;""&amp;Source!F251&amp;"+"&amp;""&amp;Source!F252&amp;"+"&amp;""&amp;Source!F253&amp;""</f>
        <v>=81371+4541+156144+58307+42132</v>
      </c>
      <c r="E685" s="90"/>
      <c r="F685" s="90"/>
      <c r="G685" s="90"/>
      <c r="H685" s="90"/>
      <c r="I685" s="90"/>
      <c r="J685" s="97">
        <f>Source!F254</f>
        <v>342495</v>
      </c>
      <c r="K685" s="97"/>
      <c r="AM685" s="59" t="str">
        <f>"="&amp;Source!F248&amp;"+"&amp;""&amp;Source!F250&amp;"+"&amp;""&amp;Source!F251&amp;"+"&amp;""&amp;Source!F252&amp;"+"&amp;""&amp;Source!F253&amp;""</f>
        <v>=81371+4541+156144+58307+42132</v>
      </c>
    </row>
    <row r="686" spans="1:39" ht="28.2">
      <c r="C686" s="25" t="str">
        <f>Source!H255</f>
        <v>Возм-ние НДС (СтМат+ЭММ-ЗПМ+НР*0,1712+СП*0,15)*0,20</v>
      </c>
      <c r="D686" s="101" t="str">
        <f>"=("&amp;Source!F251&amp;"+"&amp;""&amp;Source!F250&amp;"-"&amp;""&amp;Source!F249&amp;"+"&amp;""&amp;Source!F252&amp;"*"&amp;"0,1712+"&amp;""&amp;Source!F253&amp;"*"&amp;"0,15)*"&amp;"0,2"</f>
        <v>=(156144+4541-2073+58307*0,1712+42132*0,15)*0,2</v>
      </c>
      <c r="E686" s="90"/>
      <c r="F686" s="90"/>
      <c r="G686" s="90"/>
      <c r="H686" s="90"/>
      <c r="I686" s="90"/>
      <c r="J686" s="97">
        <f>Source!F255</f>
        <v>34983</v>
      </c>
      <c r="K686" s="97"/>
      <c r="AM686" s="59" t="str">
        <f>"=("&amp;Source!F251&amp;"+"&amp;""&amp;Source!F250&amp;"-"&amp;""&amp;Source!F249&amp;"+"&amp;""&amp;Source!F252&amp;"*"&amp;"0,1712+"&amp;""&amp;Source!F253&amp;"*"&amp;"0,15)*"&amp;"0,2"</f>
        <v>=(156144+4541-2073+58307*0,1712+42132*0,15)*0,2</v>
      </c>
    </row>
    <row r="687" spans="1:39" ht="14.4">
      <c r="C687" s="25" t="str">
        <f>Source!H256</f>
        <v>Итого с возм-ем НДС</v>
      </c>
      <c r="D687" s="101" t="str">
        <f>"="&amp;Source!F254&amp;"+"&amp;""&amp;Source!F255&amp;""</f>
        <v>=342495+34983</v>
      </c>
      <c r="E687" s="90"/>
      <c r="F687" s="90"/>
      <c r="G687" s="90"/>
      <c r="H687" s="90"/>
      <c r="I687" s="90"/>
      <c r="J687" s="97">
        <f>Source!F256</f>
        <v>377478</v>
      </c>
      <c r="K687" s="97"/>
      <c r="AM687" s="59" t="str">
        <f>"="&amp;Source!F254&amp;"+"&amp;""&amp;Source!F255&amp;""</f>
        <v>=342495+34983</v>
      </c>
    </row>
    <row r="693" spans="1:12" ht="13.8">
      <c r="A693" s="100" t="s">
        <v>970</v>
      </c>
      <c r="B693" s="100"/>
      <c r="C693" s="60" t="str">
        <f>IF(Source!AC12&lt;&gt;"", Source!AC12," ")</f>
        <v xml:space="preserve"> </v>
      </c>
      <c r="D693" s="61"/>
      <c r="E693" s="60"/>
      <c r="F693" s="60"/>
      <c r="G693" s="61"/>
      <c r="H693" s="60" t="str">
        <f>IF(Source!AB12&lt;&gt;"", Source!AB12," ")</f>
        <v xml:space="preserve"> </v>
      </c>
      <c r="I693" s="60"/>
      <c r="J693" s="60"/>
      <c r="K693" s="60"/>
      <c r="L693" s="11"/>
    </row>
    <row r="694" spans="1:12" ht="13.8">
      <c r="A694" s="61"/>
      <c r="B694" s="61"/>
      <c r="C694" s="62" t="s">
        <v>971</v>
      </c>
      <c r="D694" s="61"/>
      <c r="E694" s="99" t="s">
        <v>972</v>
      </c>
      <c r="F694" s="99"/>
      <c r="G694" s="61"/>
      <c r="H694" s="99" t="s">
        <v>973</v>
      </c>
      <c r="I694" s="99"/>
      <c r="J694" s="99"/>
      <c r="K694" s="99"/>
      <c r="L694" s="11"/>
    </row>
    <row r="695" spans="1:12" ht="13.8">
      <c r="A695" s="61"/>
      <c r="B695" s="63"/>
      <c r="C695" s="61"/>
      <c r="D695" s="63"/>
      <c r="E695" s="61" t="s">
        <v>974</v>
      </c>
      <c r="F695" s="61"/>
      <c r="G695" s="61"/>
      <c r="H695" s="61"/>
      <c r="I695" s="61"/>
      <c r="J695" s="61"/>
      <c r="K695" s="61"/>
      <c r="L695" s="11"/>
    </row>
    <row r="696" spans="1:12" ht="13.8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11"/>
    </row>
    <row r="697" spans="1:12" ht="13.8">
      <c r="A697" s="100" t="s">
        <v>975</v>
      </c>
      <c r="B697" s="100"/>
      <c r="C697" s="60" t="str">
        <f>IF(Source!AE12&lt;&gt;"", Source!AE12," ")</f>
        <v xml:space="preserve"> </v>
      </c>
      <c r="D697" s="61"/>
      <c r="E697" s="60"/>
      <c r="F697" s="60"/>
      <c r="G697" s="61"/>
      <c r="H697" s="60" t="str">
        <f>IF(Source!AD12&lt;&gt;"", Source!AD12," ")</f>
        <v xml:space="preserve"> </v>
      </c>
      <c r="I697" s="60"/>
      <c r="J697" s="60"/>
      <c r="K697" s="60"/>
      <c r="L697" s="11"/>
    </row>
    <row r="698" spans="1:12" ht="13.8">
      <c r="A698" s="61"/>
      <c r="B698" s="61"/>
      <c r="C698" s="62" t="s">
        <v>971</v>
      </c>
      <c r="D698" s="61"/>
      <c r="E698" s="99" t="s">
        <v>972</v>
      </c>
      <c r="F698" s="99"/>
      <c r="G698" s="61"/>
      <c r="H698" s="99" t="s">
        <v>973</v>
      </c>
      <c r="I698" s="99"/>
      <c r="J698" s="99"/>
      <c r="K698" s="99"/>
      <c r="L698" s="11"/>
    </row>
    <row r="699" spans="1:12" ht="13.8">
      <c r="A699" s="64"/>
      <c r="B699" s="64"/>
      <c r="C699" s="61"/>
      <c r="D699" s="65"/>
      <c r="E699" s="61" t="s">
        <v>974</v>
      </c>
      <c r="F699" s="64"/>
      <c r="G699" s="64"/>
      <c r="H699" s="64"/>
      <c r="I699" s="64"/>
      <c r="J699" s="64"/>
      <c r="K699" s="64"/>
      <c r="L699" s="11"/>
    </row>
  </sheetData>
  <mergeCells count="351">
    <mergeCell ref="E698:F698"/>
    <mergeCell ref="H698:K698"/>
    <mergeCell ref="A693:B693"/>
    <mergeCell ref="E694:F694"/>
    <mergeCell ref="H694:K694"/>
    <mergeCell ref="A697:B697"/>
    <mergeCell ref="D685:I685"/>
    <mergeCell ref="J685:K685"/>
    <mergeCell ref="D686:I686"/>
    <mergeCell ref="J686:K686"/>
    <mergeCell ref="D687:I687"/>
    <mergeCell ref="J687:K687"/>
    <mergeCell ref="J679:K679"/>
    <mergeCell ref="J680:K680"/>
    <mergeCell ref="J681:K681"/>
    <mergeCell ref="J682:K682"/>
    <mergeCell ref="J683:K683"/>
    <mergeCell ref="J684:K684"/>
    <mergeCell ref="A675:F675"/>
    <mergeCell ref="J675:K675"/>
    <mergeCell ref="G675:H675"/>
    <mergeCell ref="A677:F677"/>
    <mergeCell ref="J677:K677"/>
    <mergeCell ref="G677:H677"/>
    <mergeCell ref="G663:H663"/>
    <mergeCell ref="J663:K663"/>
    <mergeCell ref="F670:G670"/>
    <mergeCell ref="F671:G671"/>
    <mergeCell ref="G673:H673"/>
    <mergeCell ref="J673:K673"/>
    <mergeCell ref="F650:G650"/>
    <mergeCell ref="F651:G651"/>
    <mergeCell ref="G653:H653"/>
    <mergeCell ref="J653:K653"/>
    <mergeCell ref="F660:G660"/>
    <mergeCell ref="F661:G661"/>
    <mergeCell ref="G635:H635"/>
    <mergeCell ref="J635:K635"/>
    <mergeCell ref="F640:G640"/>
    <mergeCell ref="F641:G641"/>
    <mergeCell ref="G643:H643"/>
    <mergeCell ref="J643:K643"/>
    <mergeCell ref="G623:H623"/>
    <mergeCell ref="J623:K623"/>
    <mergeCell ref="G626:H626"/>
    <mergeCell ref="J626:K626"/>
    <mergeCell ref="F632:G632"/>
    <mergeCell ref="F633:G633"/>
    <mergeCell ref="G609:H609"/>
    <mergeCell ref="J609:K609"/>
    <mergeCell ref="G612:H612"/>
    <mergeCell ref="J612:K612"/>
    <mergeCell ref="F619:G619"/>
    <mergeCell ref="F620:G620"/>
    <mergeCell ref="F596:G596"/>
    <mergeCell ref="F597:G597"/>
    <mergeCell ref="G599:H599"/>
    <mergeCell ref="J599:K599"/>
    <mergeCell ref="F605:G605"/>
    <mergeCell ref="F606:G606"/>
    <mergeCell ref="F581:G581"/>
    <mergeCell ref="G584:H584"/>
    <mergeCell ref="J584:K584"/>
    <mergeCell ref="G587:H587"/>
    <mergeCell ref="J587:K587"/>
    <mergeCell ref="G590:H590"/>
    <mergeCell ref="J590:K590"/>
    <mergeCell ref="C564:L564"/>
    <mergeCell ref="F570:G570"/>
    <mergeCell ref="F571:G571"/>
    <mergeCell ref="G573:H573"/>
    <mergeCell ref="J573:K573"/>
    <mergeCell ref="F580:G580"/>
    <mergeCell ref="F557:G557"/>
    <mergeCell ref="F558:G558"/>
    <mergeCell ref="G560:H560"/>
    <mergeCell ref="J560:K560"/>
    <mergeCell ref="G563:H563"/>
    <mergeCell ref="J563:K563"/>
    <mergeCell ref="G543:H543"/>
    <mergeCell ref="J543:K543"/>
    <mergeCell ref="F549:G549"/>
    <mergeCell ref="F550:G550"/>
    <mergeCell ref="G552:H552"/>
    <mergeCell ref="J552:K552"/>
    <mergeCell ref="F531:G531"/>
    <mergeCell ref="F532:G532"/>
    <mergeCell ref="G534:H534"/>
    <mergeCell ref="J534:K534"/>
    <mergeCell ref="F540:G540"/>
    <mergeCell ref="F541:G541"/>
    <mergeCell ref="G517:H517"/>
    <mergeCell ref="J517:K517"/>
    <mergeCell ref="F522:G522"/>
    <mergeCell ref="F523:G523"/>
    <mergeCell ref="G525:H525"/>
    <mergeCell ref="J525:K525"/>
    <mergeCell ref="G503:H503"/>
    <mergeCell ref="J503:K503"/>
    <mergeCell ref="F510:G510"/>
    <mergeCell ref="F511:G511"/>
    <mergeCell ref="G514:H514"/>
    <mergeCell ref="J514:K514"/>
    <mergeCell ref="F491:G491"/>
    <mergeCell ref="F492:G492"/>
    <mergeCell ref="G494:H494"/>
    <mergeCell ref="J494:K494"/>
    <mergeCell ref="F500:G500"/>
    <mergeCell ref="F501:G501"/>
    <mergeCell ref="F477:G477"/>
    <mergeCell ref="F478:G478"/>
    <mergeCell ref="G481:H481"/>
    <mergeCell ref="J481:K481"/>
    <mergeCell ref="G484:H484"/>
    <mergeCell ref="J484:K484"/>
    <mergeCell ref="F464:G464"/>
    <mergeCell ref="F465:G465"/>
    <mergeCell ref="G467:H467"/>
    <mergeCell ref="J467:K467"/>
    <mergeCell ref="G470:H470"/>
    <mergeCell ref="J470:K470"/>
    <mergeCell ref="G447:H447"/>
    <mergeCell ref="J447:K447"/>
    <mergeCell ref="F454:G454"/>
    <mergeCell ref="F455:G455"/>
    <mergeCell ref="G457:H457"/>
    <mergeCell ref="J457:K457"/>
    <mergeCell ref="F434:G434"/>
    <mergeCell ref="F435:G435"/>
    <mergeCell ref="G437:H437"/>
    <mergeCell ref="J437:K437"/>
    <mergeCell ref="F444:G444"/>
    <mergeCell ref="F445:G445"/>
    <mergeCell ref="F415:G415"/>
    <mergeCell ref="G417:H417"/>
    <mergeCell ref="J417:K417"/>
    <mergeCell ref="F424:G424"/>
    <mergeCell ref="F425:G425"/>
    <mergeCell ref="G427:H427"/>
    <mergeCell ref="J427:K427"/>
    <mergeCell ref="C397:L397"/>
    <mergeCell ref="F404:G404"/>
    <mergeCell ref="F405:G405"/>
    <mergeCell ref="G407:H407"/>
    <mergeCell ref="J407:K407"/>
    <mergeCell ref="F414:G414"/>
    <mergeCell ref="G387:H387"/>
    <mergeCell ref="J387:K387"/>
    <mergeCell ref="F393:G393"/>
    <mergeCell ref="F394:G394"/>
    <mergeCell ref="G396:H396"/>
    <mergeCell ref="J396:K396"/>
    <mergeCell ref="F377:G377"/>
    <mergeCell ref="F378:G378"/>
    <mergeCell ref="G380:H380"/>
    <mergeCell ref="J380:K380"/>
    <mergeCell ref="F384:G384"/>
    <mergeCell ref="F385:G385"/>
    <mergeCell ref="G364:H364"/>
    <mergeCell ref="J364:K364"/>
    <mergeCell ref="F370:G370"/>
    <mergeCell ref="F371:G371"/>
    <mergeCell ref="G373:H373"/>
    <mergeCell ref="J373:K373"/>
    <mergeCell ref="F352:G352"/>
    <mergeCell ref="F353:G353"/>
    <mergeCell ref="G355:H355"/>
    <mergeCell ref="J355:K355"/>
    <mergeCell ref="F361:G361"/>
    <mergeCell ref="F362:G362"/>
    <mergeCell ref="A338:L338"/>
    <mergeCell ref="C339:L339"/>
    <mergeCell ref="F345:G345"/>
    <mergeCell ref="F346:G346"/>
    <mergeCell ref="G348:H348"/>
    <mergeCell ref="J348:K348"/>
    <mergeCell ref="G331:H331"/>
    <mergeCell ref="J331:K331"/>
    <mergeCell ref="A333:F333"/>
    <mergeCell ref="J333:K333"/>
    <mergeCell ref="G333:H333"/>
    <mergeCell ref="J335:K335"/>
    <mergeCell ref="G319:H319"/>
    <mergeCell ref="J319:K319"/>
    <mergeCell ref="G322:H322"/>
    <mergeCell ref="J322:K322"/>
    <mergeCell ref="F328:G328"/>
    <mergeCell ref="F329:G329"/>
    <mergeCell ref="G310:H310"/>
    <mergeCell ref="J310:K310"/>
    <mergeCell ref="G313:H313"/>
    <mergeCell ref="J313:K313"/>
    <mergeCell ref="G316:H316"/>
    <mergeCell ref="J316:K316"/>
    <mergeCell ref="G299:H299"/>
    <mergeCell ref="J299:K299"/>
    <mergeCell ref="G302:H302"/>
    <mergeCell ref="J302:K302"/>
    <mergeCell ref="F307:G307"/>
    <mergeCell ref="F308:G308"/>
    <mergeCell ref="F288:G288"/>
    <mergeCell ref="F289:G289"/>
    <mergeCell ref="G291:H291"/>
    <mergeCell ref="J291:K291"/>
    <mergeCell ref="F296:G296"/>
    <mergeCell ref="F297:G297"/>
    <mergeCell ref="G276:H276"/>
    <mergeCell ref="J276:K276"/>
    <mergeCell ref="G279:H279"/>
    <mergeCell ref="J279:K279"/>
    <mergeCell ref="G282:H282"/>
    <mergeCell ref="J282:K282"/>
    <mergeCell ref="F262:G262"/>
    <mergeCell ref="F263:G263"/>
    <mergeCell ref="G265:H265"/>
    <mergeCell ref="J265:K265"/>
    <mergeCell ref="F272:G272"/>
    <mergeCell ref="F273:G273"/>
    <mergeCell ref="G247:H247"/>
    <mergeCell ref="J247:K247"/>
    <mergeCell ref="F253:G253"/>
    <mergeCell ref="F254:G254"/>
    <mergeCell ref="G256:H256"/>
    <mergeCell ref="J256:K256"/>
    <mergeCell ref="G234:H234"/>
    <mergeCell ref="J234:K234"/>
    <mergeCell ref="F241:G241"/>
    <mergeCell ref="F242:G242"/>
    <mergeCell ref="G244:H244"/>
    <mergeCell ref="J244:K244"/>
    <mergeCell ref="G221:H221"/>
    <mergeCell ref="J221:K221"/>
    <mergeCell ref="F228:G228"/>
    <mergeCell ref="F229:G229"/>
    <mergeCell ref="G231:H231"/>
    <mergeCell ref="J231:K231"/>
    <mergeCell ref="G208:H208"/>
    <mergeCell ref="J208:K208"/>
    <mergeCell ref="F215:G215"/>
    <mergeCell ref="F216:G216"/>
    <mergeCell ref="G218:H218"/>
    <mergeCell ref="J218:K218"/>
    <mergeCell ref="G194:H194"/>
    <mergeCell ref="J194:K194"/>
    <mergeCell ref="F201:G201"/>
    <mergeCell ref="F202:G202"/>
    <mergeCell ref="G205:H205"/>
    <mergeCell ref="J205:K205"/>
    <mergeCell ref="G181:H181"/>
    <mergeCell ref="J181:K181"/>
    <mergeCell ref="G184:H184"/>
    <mergeCell ref="J184:K184"/>
    <mergeCell ref="F191:G191"/>
    <mergeCell ref="F192:G192"/>
    <mergeCell ref="F168:G168"/>
    <mergeCell ref="F169:G169"/>
    <mergeCell ref="G171:H171"/>
    <mergeCell ref="J171:K171"/>
    <mergeCell ref="F178:G178"/>
    <mergeCell ref="F179:G179"/>
    <mergeCell ref="J148:K148"/>
    <mergeCell ref="A151:L151"/>
    <mergeCell ref="F158:G158"/>
    <mergeCell ref="F159:G159"/>
    <mergeCell ref="G161:H161"/>
    <mergeCell ref="J161:K161"/>
    <mergeCell ref="F141:G141"/>
    <mergeCell ref="F142:G142"/>
    <mergeCell ref="G144:H144"/>
    <mergeCell ref="J144:K144"/>
    <mergeCell ref="A146:F146"/>
    <mergeCell ref="J146:K146"/>
    <mergeCell ref="G146:H146"/>
    <mergeCell ref="G125:H125"/>
    <mergeCell ref="J125:K125"/>
    <mergeCell ref="F132:G132"/>
    <mergeCell ref="F133:G133"/>
    <mergeCell ref="G135:H135"/>
    <mergeCell ref="J135:K135"/>
    <mergeCell ref="F113:G113"/>
    <mergeCell ref="F114:G114"/>
    <mergeCell ref="G116:H116"/>
    <mergeCell ref="J116:K116"/>
    <mergeCell ref="F122:G122"/>
    <mergeCell ref="F123:G123"/>
    <mergeCell ref="G98:H98"/>
    <mergeCell ref="J98:K98"/>
    <mergeCell ref="F104:G104"/>
    <mergeCell ref="F105:G105"/>
    <mergeCell ref="G107:H107"/>
    <mergeCell ref="J107:K107"/>
    <mergeCell ref="F87:G87"/>
    <mergeCell ref="F88:G88"/>
    <mergeCell ref="G90:H90"/>
    <mergeCell ref="J90:K90"/>
    <mergeCell ref="F95:G95"/>
    <mergeCell ref="F96:G96"/>
    <mergeCell ref="G74:H74"/>
    <mergeCell ref="J74:K74"/>
    <mergeCell ref="F80:G80"/>
    <mergeCell ref="F81:G81"/>
    <mergeCell ref="G83:H83"/>
    <mergeCell ref="J83:K83"/>
    <mergeCell ref="F62:G62"/>
    <mergeCell ref="F63:G63"/>
    <mergeCell ref="G65:H65"/>
    <mergeCell ref="J65:K65"/>
    <mergeCell ref="F71:G71"/>
    <mergeCell ref="F72:G72"/>
    <mergeCell ref="G47:H47"/>
    <mergeCell ref="J47:K47"/>
    <mergeCell ref="F53:G53"/>
    <mergeCell ref="F54:G54"/>
    <mergeCell ref="G56:H56"/>
    <mergeCell ref="J56:K56"/>
    <mergeCell ref="F36:G36"/>
    <mergeCell ref="F37:G37"/>
    <mergeCell ref="G39:H39"/>
    <mergeCell ref="J39:K39"/>
    <mergeCell ref="F44:G44"/>
    <mergeCell ref="F45:G45"/>
    <mergeCell ref="C25:F25"/>
    <mergeCell ref="G25:H25"/>
    <mergeCell ref="I25:J25"/>
    <mergeCell ref="K25:L25"/>
    <mergeCell ref="A27:L27"/>
    <mergeCell ref="A31:L31"/>
    <mergeCell ref="C24:F24"/>
    <mergeCell ref="G24:H24"/>
    <mergeCell ref="I24:J24"/>
    <mergeCell ref="K24:L24"/>
    <mergeCell ref="C23:F23"/>
    <mergeCell ref="G23:H23"/>
    <mergeCell ref="I23:J23"/>
    <mergeCell ref="K23:L23"/>
    <mergeCell ref="B13:K13"/>
    <mergeCell ref="B16:K16"/>
    <mergeCell ref="B17:K17"/>
    <mergeCell ref="A19:L19"/>
    <mergeCell ref="G22:H22"/>
    <mergeCell ref="I22:J22"/>
    <mergeCell ref="B6:E6"/>
    <mergeCell ref="H6:L6"/>
    <mergeCell ref="B9:K9"/>
    <mergeCell ref="B10:K10"/>
    <mergeCell ref="B2:E2"/>
    <mergeCell ref="H2:L2"/>
    <mergeCell ref="B3:E3"/>
    <mergeCell ref="H3:L3"/>
    <mergeCell ref="B5:E5"/>
    <mergeCell ref="H5:L5"/>
  </mergeCells>
  <pageMargins left="0.4" right="0.2" top="0.2" bottom="0.4" header="0.2" footer="0.2"/>
  <pageSetup paperSize="9" scale="58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718"/>
  <sheetViews>
    <sheetView topLeftCell="A16" zoomScale="99" zoomScaleNormal="99" workbookViewId="0"/>
  </sheetViews>
  <sheetFormatPr defaultRowHeight="13.2"/>
  <cols>
    <col min="1" max="2" width="5.6640625" customWidth="1"/>
    <col min="3" max="3" width="11.6640625" customWidth="1"/>
    <col min="4" max="4" width="40.6640625" customWidth="1"/>
    <col min="5" max="6" width="10.6640625" customWidth="1"/>
    <col min="7" max="9" width="12.6640625" customWidth="1"/>
    <col min="10" max="10" width="17.6640625" customWidth="1"/>
    <col min="11" max="11" width="8.6640625" customWidth="1"/>
    <col min="12" max="12" width="12.6640625" customWidth="1"/>
    <col min="13" max="13" width="8.6640625" customWidth="1"/>
    <col min="15" max="29" width="0" hidden="1" customWidth="1"/>
    <col min="30" max="30" width="110.6640625" hidden="1" customWidth="1"/>
    <col min="31" max="31" width="165.6640625" hidden="1" customWidth="1"/>
    <col min="32" max="32" width="144.6640625" hidden="1" customWidth="1"/>
    <col min="33" max="33" width="96.6640625" hidden="1" customWidth="1"/>
    <col min="34" max="38" width="0" hidden="1" customWidth="1"/>
    <col min="39" max="39" width="76.6640625" hidden="1" customWidth="1"/>
  </cols>
  <sheetData>
    <row r="1" spans="1:30">
      <c r="A1" s="9" t="str">
        <f>Source!B1</f>
        <v>Smeta.RU  (495) 974-1589</v>
      </c>
    </row>
    <row r="2" spans="1:30" ht="13.8">
      <c r="A2" s="11"/>
      <c r="B2" s="11"/>
      <c r="C2" s="11"/>
      <c r="D2" s="50"/>
      <c r="E2" s="50"/>
      <c r="F2" s="50"/>
      <c r="G2" s="11"/>
      <c r="H2" s="11"/>
      <c r="I2" s="11"/>
      <c r="J2" s="105" t="s">
        <v>976</v>
      </c>
      <c r="K2" s="105"/>
      <c r="L2" s="105"/>
      <c r="M2" s="105"/>
    </row>
    <row r="3" spans="1:30" ht="13.8">
      <c r="A3" s="11"/>
      <c r="B3" s="11"/>
      <c r="C3" s="11"/>
      <c r="D3" s="11"/>
      <c r="E3" s="11"/>
      <c r="F3" s="11"/>
      <c r="G3" s="11"/>
      <c r="H3" s="11"/>
      <c r="I3" s="105" t="s">
        <v>977</v>
      </c>
      <c r="J3" s="106"/>
      <c r="K3" s="106"/>
      <c r="L3" s="106"/>
      <c r="M3" s="106"/>
    </row>
    <row r="4" spans="1:30" ht="13.8">
      <c r="A4" s="11"/>
      <c r="B4" s="11"/>
      <c r="C4" s="11"/>
      <c r="D4" s="11"/>
      <c r="E4" s="11"/>
      <c r="F4" s="11"/>
      <c r="G4" s="11"/>
      <c r="H4" s="11"/>
      <c r="I4" s="11"/>
      <c r="J4" s="105" t="s">
        <v>978</v>
      </c>
      <c r="K4" s="105"/>
      <c r="L4" s="105"/>
      <c r="M4" s="105"/>
    </row>
    <row r="5" spans="1:30" ht="13.8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30" ht="13.8">
      <c r="A6" s="11"/>
      <c r="B6" s="11"/>
      <c r="C6" s="11"/>
      <c r="D6" s="11"/>
      <c r="E6" s="11"/>
      <c r="F6" s="11"/>
      <c r="G6" s="11"/>
      <c r="H6" s="11"/>
      <c r="I6" s="11"/>
      <c r="J6" s="11"/>
      <c r="K6" s="104" t="s">
        <v>979</v>
      </c>
      <c r="L6" s="104"/>
      <c r="M6" s="104"/>
    </row>
    <row r="7" spans="1:30" ht="13.8">
      <c r="A7" s="11"/>
      <c r="B7" s="11"/>
      <c r="C7" s="11"/>
      <c r="D7" s="11"/>
      <c r="E7" s="11"/>
      <c r="F7" s="11"/>
      <c r="G7" s="11"/>
      <c r="H7" s="11"/>
      <c r="I7" s="11"/>
      <c r="J7" s="10" t="s">
        <v>980</v>
      </c>
      <c r="K7" s="107" t="s">
        <v>981</v>
      </c>
      <c r="L7" s="107"/>
      <c r="M7" s="107"/>
    </row>
    <row r="8" spans="1:30" ht="13.8">
      <c r="A8" s="11"/>
      <c r="B8" s="11"/>
      <c r="C8" s="11"/>
      <c r="D8" s="11"/>
      <c r="E8" s="11"/>
      <c r="F8" s="11"/>
      <c r="G8" s="11"/>
      <c r="H8" s="11"/>
      <c r="I8" s="11"/>
      <c r="J8" s="11"/>
      <c r="K8" s="104" t="str">
        <f>IF(Source!AT15 &lt;&gt; "", Source!AT15, "")</f>
        <v/>
      </c>
      <c r="L8" s="104"/>
      <c r="M8" s="104"/>
    </row>
    <row r="9" spans="1:30" ht="13.8">
      <c r="A9" s="83" t="s">
        <v>982</v>
      </c>
      <c r="B9" s="83"/>
      <c r="C9" s="102" t="str">
        <f>IF(Source!BA15 &lt;&gt; "", Source!BA15, IF(Source!AU15 &lt;&gt; "", Source!AU15, ""))</f>
        <v/>
      </c>
      <c r="D9" s="102"/>
      <c r="E9" s="102"/>
      <c r="F9" s="102"/>
      <c r="G9" s="102"/>
      <c r="H9" s="102"/>
      <c r="I9" s="102"/>
      <c r="J9" s="10" t="s">
        <v>983</v>
      </c>
      <c r="K9" s="104"/>
      <c r="L9" s="104"/>
      <c r="M9" s="104"/>
      <c r="AD9" s="41" t="str">
        <f>IF(Source!BA15 &lt;&gt; "", Source!BA15, IF(Source!AU15 &lt;&gt; "", Source!AU15, ""))</f>
        <v/>
      </c>
    </row>
    <row r="10" spans="1:30" ht="13.8">
      <c r="A10" s="11"/>
      <c r="B10" s="11"/>
      <c r="C10" s="103" t="s">
        <v>984</v>
      </c>
      <c r="D10" s="103"/>
      <c r="E10" s="103"/>
      <c r="F10" s="103"/>
      <c r="G10" s="103"/>
      <c r="H10" s="103"/>
      <c r="I10" s="103"/>
      <c r="J10" s="11"/>
      <c r="K10" s="104" t="str">
        <f>IF(Source!AK15 &lt;&gt; "", Source!AK15, "")</f>
        <v/>
      </c>
      <c r="L10" s="104"/>
      <c r="M10" s="104"/>
    </row>
    <row r="11" spans="1:30" ht="13.8">
      <c r="A11" s="83" t="s">
        <v>985</v>
      </c>
      <c r="B11" s="83"/>
      <c r="C11" s="102" t="str">
        <f>IF(Source!AX12&lt;&gt; "", Source!AX12, IF(Source!AJ12 &lt;&gt; "", Source!AJ12, ""))</f>
        <v/>
      </c>
      <c r="D11" s="102"/>
      <c r="E11" s="102"/>
      <c r="F11" s="102"/>
      <c r="G11" s="102"/>
      <c r="H11" s="102"/>
      <c r="I11" s="102"/>
      <c r="J11" s="10" t="s">
        <v>983</v>
      </c>
      <c r="K11" s="104"/>
      <c r="L11" s="104"/>
      <c r="M11" s="104"/>
      <c r="AD11" s="41" t="str">
        <f>IF(Source!AX12&lt;&gt; "", Source!AX12, IF(Source!AJ12 &lt;&gt; "", Source!AJ12, ""))</f>
        <v/>
      </c>
    </row>
    <row r="12" spans="1:30" ht="13.8">
      <c r="A12" s="11"/>
      <c r="B12" s="11"/>
      <c r="C12" s="103" t="s">
        <v>984</v>
      </c>
      <c r="D12" s="103"/>
      <c r="E12" s="103"/>
      <c r="F12" s="103"/>
      <c r="G12" s="103"/>
      <c r="H12" s="103"/>
      <c r="I12" s="103"/>
      <c r="J12" s="11"/>
      <c r="K12" s="104" t="str">
        <f>IF(Source!AO15 &lt;&gt; "", Source!AO15, "")</f>
        <v/>
      </c>
      <c r="L12" s="104"/>
      <c r="M12" s="104"/>
    </row>
    <row r="13" spans="1:30" ht="13.8">
      <c r="A13" s="83" t="s">
        <v>986</v>
      </c>
      <c r="B13" s="83"/>
      <c r="C13" s="102" t="str">
        <f>IF(Source!AY12&lt;&gt; "", Source!AY12, IF(Source!AN12 &lt;&gt; "", Source!AN12, ""))</f>
        <v/>
      </c>
      <c r="D13" s="102"/>
      <c r="E13" s="102"/>
      <c r="F13" s="102"/>
      <c r="G13" s="102"/>
      <c r="H13" s="102"/>
      <c r="I13" s="102"/>
      <c r="J13" s="10" t="s">
        <v>983</v>
      </c>
      <c r="K13" s="104"/>
      <c r="L13" s="104"/>
      <c r="M13" s="104"/>
      <c r="AD13" s="41" t="str">
        <f>IF(Source!AY12&lt;&gt; "", Source!AY12, IF(Source!AN12 &lt;&gt; "", Source!AN12, ""))</f>
        <v/>
      </c>
    </row>
    <row r="14" spans="1:30" ht="13.8">
      <c r="A14" s="11"/>
      <c r="B14" s="11"/>
      <c r="C14" s="103" t="s">
        <v>984</v>
      </c>
      <c r="D14" s="103"/>
      <c r="E14" s="103"/>
      <c r="F14" s="103"/>
      <c r="G14" s="103"/>
      <c r="H14" s="103"/>
      <c r="I14" s="103"/>
      <c r="J14" s="11"/>
      <c r="K14" s="104" t="str">
        <f>IF(Source!CO15 &lt;&gt; "", Source!CO15, "")</f>
        <v/>
      </c>
      <c r="L14" s="104"/>
      <c r="M14" s="104"/>
    </row>
    <row r="15" spans="1:30" ht="13.8">
      <c r="A15" s="83" t="s">
        <v>987</v>
      </c>
      <c r="B15" s="83"/>
      <c r="C15" s="102" t="s">
        <v>5</v>
      </c>
      <c r="D15" s="102"/>
      <c r="E15" s="102"/>
      <c r="F15" s="102"/>
      <c r="G15" s="102"/>
      <c r="H15" s="102"/>
      <c r="I15" s="102"/>
      <c r="J15" s="11"/>
      <c r="K15" s="104"/>
      <c r="L15" s="104"/>
      <c r="M15" s="104"/>
      <c r="AD15" s="41" t="s">
        <v>5</v>
      </c>
    </row>
    <row r="16" spans="1:30" ht="13.8">
      <c r="A16" s="11"/>
      <c r="B16" s="11"/>
      <c r="C16" s="103" t="s">
        <v>988</v>
      </c>
      <c r="D16" s="103"/>
      <c r="E16" s="103"/>
      <c r="F16" s="103"/>
      <c r="G16" s="103"/>
      <c r="H16" s="103"/>
      <c r="I16" s="103"/>
      <c r="J16" s="11"/>
      <c r="K16" s="104" t="str">
        <f>IF(Source!CP15 &lt;&gt; "", Source!CP15, "")</f>
        <v/>
      </c>
      <c r="L16" s="104"/>
      <c r="M16" s="104"/>
    </row>
    <row r="17" spans="1:30" ht="13.8">
      <c r="A17" s="83" t="s">
        <v>989</v>
      </c>
      <c r="B17" s="83"/>
      <c r="C17" s="102" t="str">
        <f>Source!G12</f>
        <v xml:space="preserve"> Санузел для МГН, аптечный склад</v>
      </c>
      <c r="D17" s="102"/>
      <c r="E17" s="102"/>
      <c r="F17" s="102"/>
      <c r="G17" s="102"/>
      <c r="H17" s="102"/>
      <c r="I17" s="102"/>
      <c r="J17" s="11"/>
      <c r="K17" s="104"/>
      <c r="L17" s="104"/>
      <c r="M17" s="104"/>
      <c r="AD17" s="41" t="str">
        <f>Source!G12</f>
        <v xml:space="preserve"> Санузел для МГН, аптечный склад</v>
      </c>
    </row>
    <row r="18" spans="1:30" ht="13.8">
      <c r="A18" s="11"/>
      <c r="B18" s="11"/>
      <c r="C18" s="103" t="s">
        <v>990</v>
      </c>
      <c r="D18" s="103"/>
      <c r="E18" s="103"/>
      <c r="F18" s="103"/>
      <c r="G18" s="103"/>
      <c r="H18" s="103"/>
      <c r="I18" s="103"/>
      <c r="J18" s="11"/>
      <c r="K18" s="11"/>
      <c r="L18" s="11"/>
      <c r="M18" s="11"/>
    </row>
    <row r="19" spans="1:30" ht="13.8">
      <c r="A19" s="11"/>
      <c r="B19" s="11"/>
      <c r="C19" s="11"/>
      <c r="D19" s="11"/>
      <c r="E19" s="11"/>
      <c r="F19" s="11"/>
      <c r="G19" s="11"/>
      <c r="H19" s="108" t="s">
        <v>991</v>
      </c>
      <c r="I19" s="108"/>
      <c r="J19" s="109"/>
      <c r="K19" s="104" t="str">
        <f>IF(Source!CQ15 &lt;&gt; "", Source!CQ15, "")</f>
        <v/>
      </c>
      <c r="L19" s="104"/>
      <c r="M19" s="104"/>
    </row>
    <row r="20" spans="1:30" ht="13.8">
      <c r="A20" s="11"/>
      <c r="B20" s="11"/>
      <c r="C20" s="11"/>
      <c r="D20" s="11"/>
      <c r="E20" s="11"/>
      <c r="F20" s="11"/>
      <c r="G20" s="11"/>
      <c r="H20" s="108" t="s">
        <v>992</v>
      </c>
      <c r="I20" s="110"/>
      <c r="J20" s="66" t="s">
        <v>993</v>
      </c>
      <c r="K20" s="104" t="str">
        <f>IF(Source!CR15 &lt;&gt; "", Source!CR15, "")</f>
        <v/>
      </c>
      <c r="L20" s="104"/>
      <c r="M20" s="104"/>
    </row>
    <row r="21" spans="1:30" ht="13.8">
      <c r="A21" s="11"/>
      <c r="B21" s="11"/>
      <c r="C21" s="11"/>
      <c r="D21" s="11"/>
      <c r="E21" s="11"/>
      <c r="F21" s="11"/>
      <c r="G21" s="11"/>
      <c r="H21" s="11"/>
      <c r="I21" s="11"/>
      <c r="J21" s="22" t="s">
        <v>994</v>
      </c>
      <c r="K21" s="111" t="str">
        <f>IF(Source!CS15 &lt;&gt; 0, Source!CS15, "")</f>
        <v/>
      </c>
      <c r="L21" s="111"/>
      <c r="M21" s="111"/>
    </row>
    <row r="22" spans="1:30" ht="13.8">
      <c r="A22" s="11"/>
      <c r="B22" s="11"/>
      <c r="C22" s="11"/>
      <c r="D22" s="11"/>
      <c r="E22" s="11"/>
      <c r="F22" s="11"/>
      <c r="G22" s="11"/>
      <c r="H22" s="11"/>
      <c r="I22" s="11"/>
      <c r="J22" s="10" t="s">
        <v>995</v>
      </c>
      <c r="K22" s="104" t="str">
        <f>IF(Source!CT15 &lt;&gt; "", Source!CT15, "")</f>
        <v/>
      </c>
      <c r="L22" s="104"/>
      <c r="M22" s="104"/>
    </row>
    <row r="23" spans="1:30" ht="13.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30" ht="13.8">
      <c r="A24" s="11"/>
      <c r="B24" s="11"/>
      <c r="C24" s="11"/>
      <c r="D24" s="11"/>
      <c r="E24" s="11"/>
      <c r="F24" s="11"/>
      <c r="G24" s="112" t="s">
        <v>996</v>
      </c>
      <c r="H24" s="114" t="s">
        <v>997</v>
      </c>
      <c r="I24" s="114" t="s">
        <v>998</v>
      </c>
      <c r="J24" s="116"/>
      <c r="K24" s="11"/>
      <c r="L24" s="11"/>
      <c r="M24" s="11"/>
    </row>
    <row r="25" spans="1:30" ht="13.8">
      <c r="A25" s="11"/>
      <c r="B25" s="11"/>
      <c r="C25" s="11"/>
      <c r="D25" s="11"/>
      <c r="E25" s="11"/>
      <c r="F25" s="11"/>
      <c r="G25" s="113"/>
      <c r="H25" s="115"/>
      <c r="I25" s="67" t="s">
        <v>999</v>
      </c>
      <c r="J25" s="68" t="s">
        <v>1000</v>
      </c>
      <c r="K25" s="11"/>
      <c r="L25" s="11"/>
      <c r="M25" s="11"/>
    </row>
    <row r="26" spans="1:30" ht="13.8">
      <c r="A26" s="11"/>
      <c r="B26" s="11"/>
      <c r="C26" s="11"/>
      <c r="D26" s="11"/>
      <c r="E26" s="11"/>
      <c r="F26" s="11"/>
      <c r="G26" s="22" t="str">
        <f>IF(Source!CN15 &lt;&gt; "", Source!CN15, "")</f>
        <v/>
      </c>
      <c r="H26" s="69">
        <v>44236.743564814817</v>
      </c>
      <c r="I26" s="22"/>
      <c r="J26" s="23"/>
      <c r="K26" s="11"/>
      <c r="L26" s="11"/>
      <c r="M26" s="11"/>
    </row>
    <row r="27" spans="1:30" ht="13.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30" ht="17.399999999999999">
      <c r="A28" s="11"/>
      <c r="B28" s="118" t="s">
        <v>1001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  <row r="29" spans="1:30" ht="17.399999999999999">
      <c r="A29" s="11"/>
      <c r="B29" s="118" t="s">
        <v>1002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</row>
    <row r="30" spans="1:30" ht="13.8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30">
      <c r="A31" s="119" t="s">
        <v>1005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  <row r="32" spans="1:30" ht="13.8">
      <c r="A32" s="117" t="s">
        <v>1003</v>
      </c>
      <c r="B32" s="117"/>
      <c r="C32" s="117" t="s">
        <v>950</v>
      </c>
      <c r="D32" s="117" t="s">
        <v>951</v>
      </c>
      <c r="E32" s="117" t="s">
        <v>952</v>
      </c>
      <c r="F32" s="117" t="s">
        <v>953</v>
      </c>
      <c r="G32" s="117" t="s">
        <v>954</v>
      </c>
      <c r="H32" s="117" t="s">
        <v>955</v>
      </c>
      <c r="I32" s="117" t="s">
        <v>956</v>
      </c>
      <c r="J32" s="117" t="s">
        <v>957</v>
      </c>
      <c r="K32" s="117" t="s">
        <v>958</v>
      </c>
      <c r="L32" s="117" t="s">
        <v>959</v>
      </c>
      <c r="M32" s="117" t="s">
        <v>960</v>
      </c>
    </row>
    <row r="33" spans="1:31" ht="55.2">
      <c r="A33" s="21" t="s">
        <v>949</v>
      </c>
      <c r="B33" s="21" t="s">
        <v>1004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</row>
    <row r="34" spans="1:31" ht="13.8">
      <c r="A34" s="70">
        <v>1</v>
      </c>
      <c r="B34" s="70">
        <v>2</v>
      </c>
      <c r="C34" s="70">
        <v>3</v>
      </c>
      <c r="D34" s="70">
        <v>4</v>
      </c>
      <c r="E34" s="70">
        <v>5</v>
      </c>
      <c r="F34" s="70">
        <v>6</v>
      </c>
      <c r="G34" s="70">
        <v>7</v>
      </c>
      <c r="H34" s="70">
        <v>8</v>
      </c>
      <c r="I34" s="70">
        <v>9</v>
      </c>
      <c r="J34" s="70">
        <v>10</v>
      </c>
      <c r="K34" s="70">
        <v>11</v>
      </c>
      <c r="L34" s="70">
        <v>12</v>
      </c>
      <c r="M34" s="70">
        <v>13</v>
      </c>
    </row>
    <row r="36" spans="1:31" ht="16.8">
      <c r="A36" s="95" t="str">
        <f>CONCATENATE("Раздел: ", Source!G24)</f>
        <v>Раздел: Демонтажные работы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AE36" s="26" t="str">
        <f>CONCATENATE("Раздел: ", Source!G24)</f>
        <v>Раздел: Демонтажные работы</v>
      </c>
    </row>
    <row r="37" spans="1:31" ht="27.6">
      <c r="A37" s="27">
        <v>1</v>
      </c>
      <c r="B37" s="27" t="str">
        <f>Source!E28</f>
        <v>1</v>
      </c>
      <c r="C37" s="28" t="str">
        <f>Source!F28</f>
        <v>46-04-001-4</v>
      </c>
      <c r="D37" s="25" t="str">
        <f>Source!G28</f>
        <v>Разборка кирпичных стен</v>
      </c>
      <c r="E37" s="30" t="str">
        <f>Source!H28</f>
        <v>1 м3</v>
      </c>
      <c r="F37" s="10">
        <f>Source!I28</f>
        <v>0.495</v>
      </c>
      <c r="G37" s="32">
        <f>IF(Source!AK28&lt;&gt; 0, Source!AK28,Source!AL28 + Source!AM28 + Source!AO28)</f>
        <v>140.4</v>
      </c>
      <c r="H37" s="31"/>
      <c r="I37" s="33"/>
      <c r="J37" s="31" t="str">
        <f>Source!BO28</f>
        <v>46-04-001-4</v>
      </c>
      <c r="K37" s="31"/>
      <c r="L37" s="33"/>
      <c r="M37" s="34"/>
      <c r="S37">
        <f>ROUND((Source!FX28/100)*((ROUND(Source!AF28*Source!I28, 0)+ROUND(Source!AE28*Source!I28, 0))), 0)</f>
        <v>27</v>
      </c>
      <c r="T37">
        <f>Source!X28</f>
        <v>560</v>
      </c>
      <c r="U37">
        <f>ROUND((Source!FY28/100)*((ROUND(Source!AF28*Source!I28, 0)+ROUND(Source!AE28*Source!I28, 0))), 0)</f>
        <v>21</v>
      </c>
      <c r="V37">
        <f>Source!Y28</f>
        <v>438</v>
      </c>
    </row>
    <row r="38" spans="1:31" ht="14.4">
      <c r="A38" s="27"/>
      <c r="B38" s="27"/>
      <c r="C38" s="28"/>
      <c r="D38" s="25" t="s">
        <v>962</v>
      </c>
      <c r="E38" s="30"/>
      <c r="F38" s="10"/>
      <c r="G38" s="32">
        <f>Source!AO28</f>
        <v>68.23</v>
      </c>
      <c r="H38" s="31" t="str">
        <f>Source!DG28</f>
        <v/>
      </c>
      <c r="I38" s="33">
        <f>ROUND(Source!AF28*Source!I28, 0)</f>
        <v>34</v>
      </c>
      <c r="J38" s="31"/>
      <c r="K38" s="31">
        <f>IF(Source!BA28&lt;&gt; 0, Source!BA28, 1)</f>
        <v>20.88</v>
      </c>
      <c r="L38" s="33">
        <f>Source!S28</f>
        <v>705</v>
      </c>
      <c r="M38" s="34"/>
      <c r="R38">
        <f>I38</f>
        <v>34</v>
      </c>
    </row>
    <row r="39" spans="1:31" ht="14.4">
      <c r="A39" s="27"/>
      <c r="B39" s="27"/>
      <c r="C39" s="28"/>
      <c r="D39" s="25" t="s">
        <v>125</v>
      </c>
      <c r="E39" s="30"/>
      <c r="F39" s="10"/>
      <c r="G39" s="32">
        <f>Source!AM28</f>
        <v>72.17</v>
      </c>
      <c r="H39" s="31" t="str">
        <f>Source!DE28</f>
        <v/>
      </c>
      <c r="I39" s="33">
        <f>ROUND(Source!AD28*Source!I28, 0)</f>
        <v>36</v>
      </c>
      <c r="J39" s="31"/>
      <c r="K39" s="31">
        <f>IF(Source!BB28&lt;&gt; 0, Source!BB28, 1)</f>
        <v>9.61</v>
      </c>
      <c r="L39" s="33">
        <f>Source!Q28</f>
        <v>343</v>
      </c>
      <c r="M39" s="34"/>
    </row>
    <row r="40" spans="1:31" ht="14.4">
      <c r="A40" s="27"/>
      <c r="B40" s="27"/>
      <c r="C40" s="28"/>
      <c r="D40" s="25" t="s">
        <v>963</v>
      </c>
      <c r="E40" s="30"/>
      <c r="F40" s="10"/>
      <c r="G40" s="32">
        <f>Source!AN28</f>
        <v>10.35</v>
      </c>
      <c r="H40" s="31" t="str">
        <f>Source!DF28</f>
        <v/>
      </c>
      <c r="I40" s="33">
        <f>ROUND(Source!AE28*Source!I28, 0)</f>
        <v>5</v>
      </c>
      <c r="J40" s="31"/>
      <c r="K40" s="31">
        <f>IF(Source!BS28&lt;&gt; 0, Source!BS28, 1)</f>
        <v>20.88</v>
      </c>
      <c r="L40" s="33">
        <f>Source!R28</f>
        <v>107</v>
      </c>
      <c r="M40" s="34"/>
      <c r="R40">
        <f>I40</f>
        <v>5</v>
      </c>
    </row>
    <row r="41" spans="1:31" ht="14.4">
      <c r="A41" s="27"/>
      <c r="B41" s="27"/>
      <c r="C41" s="28"/>
      <c r="D41" s="25" t="s">
        <v>964</v>
      </c>
      <c r="E41" s="30" t="s">
        <v>965</v>
      </c>
      <c r="F41" s="10">
        <f>Source!BZ28</f>
        <v>110</v>
      </c>
      <c r="G41" s="92" t="str">
        <f>CONCATENATE(" )", Source!DL28, Source!FT28, "=", Source!FX28)</f>
        <v xml:space="preserve"> )*0,9*0,7=69,3</v>
      </c>
      <c r="H41" s="90"/>
      <c r="I41" s="33">
        <f>SUM(S37:S43)</f>
        <v>27</v>
      </c>
      <c r="J41" s="35"/>
      <c r="K41" s="25">
        <f>Source!AT28</f>
        <v>69</v>
      </c>
      <c r="L41" s="33">
        <f>SUM(T37:T43)</f>
        <v>560</v>
      </c>
      <c r="M41" s="34"/>
    </row>
    <row r="42" spans="1:31" ht="14.4">
      <c r="A42" s="27"/>
      <c r="B42" s="27"/>
      <c r="C42" s="28"/>
      <c r="D42" s="25" t="s">
        <v>966</v>
      </c>
      <c r="E42" s="30" t="s">
        <v>965</v>
      </c>
      <c r="F42" s="10">
        <f>Source!CA28</f>
        <v>70</v>
      </c>
      <c r="G42" s="92" t="str">
        <f>CONCATENATE(" )", Source!DM28, Source!FU28, "=", Source!FY28)</f>
        <v xml:space="preserve"> )*0,85*0,9=53,55</v>
      </c>
      <c r="H42" s="90"/>
      <c r="I42" s="33">
        <f>SUM(U37:U43)</f>
        <v>21</v>
      </c>
      <c r="J42" s="35"/>
      <c r="K42" s="25">
        <f>Source!AU28</f>
        <v>54</v>
      </c>
      <c r="L42" s="33">
        <f>SUM(V37:V43)</f>
        <v>438</v>
      </c>
      <c r="M42" s="34"/>
    </row>
    <row r="43" spans="1:31" ht="14.4">
      <c r="A43" s="39"/>
      <c r="B43" s="39"/>
      <c r="C43" s="40"/>
      <c r="D43" s="41" t="s">
        <v>967</v>
      </c>
      <c r="E43" s="42" t="s">
        <v>968</v>
      </c>
      <c r="F43" s="43">
        <f>Source!AQ28</f>
        <v>8.24</v>
      </c>
      <c r="G43" s="44"/>
      <c r="H43" s="45" t="str">
        <f>Source!DI28</f>
        <v/>
      </c>
      <c r="I43" s="46"/>
      <c r="J43" s="45"/>
      <c r="K43" s="45"/>
      <c r="L43" s="46"/>
      <c r="M43" s="47">
        <f>Source!U28</f>
        <v>4.0788000000000002</v>
      </c>
    </row>
    <row r="44" spans="1:31" ht="13.8">
      <c r="H44" s="93">
        <f>ROUND(Source!AC28*Source!I28, 0)+ROUND(Source!AF28*Source!I28, 0)+ROUND(Source!AD28*Source!I28, 0)+SUM(I41:I42)</f>
        <v>118</v>
      </c>
      <c r="I44" s="93"/>
      <c r="K44" s="93">
        <f>Source!O28+SUM(L41:L42)</f>
        <v>2046</v>
      </c>
      <c r="L44" s="93"/>
      <c r="M44" s="38">
        <f>Source!U28</f>
        <v>4.0788000000000002</v>
      </c>
      <c r="O44" s="37">
        <f>H44</f>
        <v>118</v>
      </c>
      <c r="P44" s="37">
        <f>K44</f>
        <v>2046</v>
      </c>
      <c r="Q44" s="48">
        <f>M44</f>
        <v>4.0788000000000002</v>
      </c>
      <c r="W44">
        <f>IF(Source!BI28&lt;=1,H44, 0)</f>
        <v>118</v>
      </c>
      <c r="X44">
        <f>IF(Source!BI28=2,H44, 0)</f>
        <v>0</v>
      </c>
      <c r="Y44">
        <f>IF(Source!BI28=3,H44, 0)</f>
        <v>0</v>
      </c>
      <c r="Z44">
        <f>IF(Source!BI28=4,H44, 0)</f>
        <v>0</v>
      </c>
    </row>
    <row r="45" spans="1:31" ht="28.2">
      <c r="A45" s="27">
        <v>2</v>
      </c>
      <c r="B45" s="27" t="str">
        <f>Source!E29</f>
        <v>2</v>
      </c>
      <c r="C45" s="28" t="str">
        <f>Source!F29</f>
        <v>46-03-007-3</v>
      </c>
      <c r="D45" s="25" t="str">
        <f>Source!G29</f>
        <v>Пробивка проемов в конструкциях из кирпича</v>
      </c>
      <c r="E45" s="30" t="str">
        <f>Source!H29</f>
        <v>1 м3</v>
      </c>
      <c r="F45" s="10">
        <f>Source!I29</f>
        <v>0.1</v>
      </c>
      <c r="G45" s="32">
        <f>IF(Source!AK29&lt;&gt; 0, Source!AK29,Source!AL29 + Source!AM29 + Source!AO29)</f>
        <v>262.48</v>
      </c>
      <c r="H45" s="31"/>
      <c r="I45" s="33"/>
      <c r="J45" s="31" t="str">
        <f>Source!BO29</f>
        <v>46-03-007-3</v>
      </c>
      <c r="K45" s="31"/>
      <c r="L45" s="33"/>
      <c r="M45" s="34"/>
      <c r="S45">
        <f>ROUND((Source!FX29/100)*((ROUND(Source!AF29*Source!I29, 0)+ROUND(Source!AE29*Source!I29, 0))), 0)</f>
        <v>8</v>
      </c>
      <c r="T45">
        <f>Source!X29</f>
        <v>181</v>
      </c>
      <c r="U45">
        <f>ROUND((Source!FY29/100)*((ROUND(Source!AF29*Source!I29, 0)+ROUND(Source!AE29*Source!I29, 0))), 0)</f>
        <v>6</v>
      </c>
      <c r="V45">
        <f>Source!Y29</f>
        <v>142</v>
      </c>
    </row>
    <row r="46" spans="1:31" ht="14.4">
      <c r="A46" s="27"/>
      <c r="B46" s="27"/>
      <c r="C46" s="28"/>
      <c r="D46" s="25" t="s">
        <v>962</v>
      </c>
      <c r="E46" s="30"/>
      <c r="F46" s="10"/>
      <c r="G46" s="32">
        <f>Source!AO29</f>
        <v>103.07</v>
      </c>
      <c r="H46" s="31" t="str">
        <f>Source!DG29</f>
        <v/>
      </c>
      <c r="I46" s="33">
        <f>ROUND(Source!AF29*Source!I29, 0)</f>
        <v>10</v>
      </c>
      <c r="J46" s="31"/>
      <c r="K46" s="31">
        <f>IF(Source!BA29&lt;&gt; 0, Source!BA29, 1)</f>
        <v>20.88</v>
      </c>
      <c r="L46" s="33">
        <f>Source!S29</f>
        <v>215</v>
      </c>
      <c r="M46" s="34"/>
      <c r="R46">
        <f>I46</f>
        <v>10</v>
      </c>
    </row>
    <row r="47" spans="1:31" ht="14.4">
      <c r="A47" s="27"/>
      <c r="B47" s="27"/>
      <c r="C47" s="28"/>
      <c r="D47" s="25" t="s">
        <v>125</v>
      </c>
      <c r="E47" s="30"/>
      <c r="F47" s="10"/>
      <c r="G47" s="32">
        <f>Source!AM29</f>
        <v>159.41</v>
      </c>
      <c r="H47" s="31" t="str">
        <f>Source!DE29</f>
        <v/>
      </c>
      <c r="I47" s="33">
        <f>ROUND(Source!AD29*Source!I29, 0)</f>
        <v>16</v>
      </c>
      <c r="J47" s="31"/>
      <c r="K47" s="31">
        <f>IF(Source!BB29&lt;&gt; 0, Source!BB29, 1)</f>
        <v>9.6</v>
      </c>
      <c r="L47" s="33">
        <f>Source!Q29</f>
        <v>153</v>
      </c>
      <c r="M47" s="34"/>
    </row>
    <row r="48" spans="1:31" ht="14.4">
      <c r="A48" s="27"/>
      <c r="B48" s="27"/>
      <c r="C48" s="28"/>
      <c r="D48" s="25" t="s">
        <v>963</v>
      </c>
      <c r="E48" s="30"/>
      <c r="F48" s="10"/>
      <c r="G48" s="32">
        <f>Source!AN29</f>
        <v>22.86</v>
      </c>
      <c r="H48" s="31" t="str">
        <f>Source!DF29</f>
        <v/>
      </c>
      <c r="I48" s="33">
        <f>ROUND(Source!AE29*Source!I29, 0)</f>
        <v>2</v>
      </c>
      <c r="J48" s="31"/>
      <c r="K48" s="31">
        <f>IF(Source!BS29&lt;&gt; 0, Source!BS29, 1)</f>
        <v>20.88</v>
      </c>
      <c r="L48" s="33">
        <f>Source!R29</f>
        <v>48</v>
      </c>
      <c r="M48" s="34"/>
      <c r="R48">
        <f>I48</f>
        <v>2</v>
      </c>
    </row>
    <row r="49" spans="1:26" ht="14.4">
      <c r="A49" s="27"/>
      <c r="B49" s="27"/>
      <c r="C49" s="28"/>
      <c r="D49" s="25" t="s">
        <v>964</v>
      </c>
      <c r="E49" s="30" t="s">
        <v>965</v>
      </c>
      <c r="F49" s="10">
        <f>Source!BZ29</f>
        <v>110</v>
      </c>
      <c r="G49" s="92" t="str">
        <f>CONCATENATE(" )", Source!DL29, Source!FT29, "=", Source!FX29)</f>
        <v xml:space="preserve"> )*0,9*0,7=69,3</v>
      </c>
      <c r="H49" s="90"/>
      <c r="I49" s="33">
        <f>SUM(S45:S51)</f>
        <v>8</v>
      </c>
      <c r="J49" s="35"/>
      <c r="K49" s="25">
        <f>Source!AT29</f>
        <v>69</v>
      </c>
      <c r="L49" s="33">
        <f>SUM(T45:T51)</f>
        <v>181</v>
      </c>
      <c r="M49" s="34"/>
    </row>
    <row r="50" spans="1:26" ht="14.4">
      <c r="A50" s="27"/>
      <c r="B50" s="27"/>
      <c r="C50" s="28"/>
      <c r="D50" s="25" t="s">
        <v>966</v>
      </c>
      <c r="E50" s="30" t="s">
        <v>965</v>
      </c>
      <c r="F50" s="10">
        <f>Source!CA29</f>
        <v>70</v>
      </c>
      <c r="G50" s="92" t="str">
        <f>CONCATENATE(" )", Source!DM29, Source!FU29, "=", Source!FY29)</f>
        <v xml:space="preserve"> )*0,85*0,9=53,55</v>
      </c>
      <c r="H50" s="90"/>
      <c r="I50" s="33">
        <f>SUM(U45:U51)</f>
        <v>6</v>
      </c>
      <c r="J50" s="35"/>
      <c r="K50" s="25">
        <f>Source!AU29</f>
        <v>54</v>
      </c>
      <c r="L50" s="33">
        <f>SUM(V45:V51)</f>
        <v>142</v>
      </c>
      <c r="M50" s="34"/>
    </row>
    <row r="51" spans="1:26" ht="14.4">
      <c r="A51" s="39"/>
      <c r="B51" s="39"/>
      <c r="C51" s="40"/>
      <c r="D51" s="41" t="s">
        <v>967</v>
      </c>
      <c r="E51" s="42" t="s">
        <v>968</v>
      </c>
      <c r="F51" s="43">
        <f>Source!AQ29</f>
        <v>12.3</v>
      </c>
      <c r="G51" s="44"/>
      <c r="H51" s="45" t="str">
        <f>Source!DI29</f>
        <v/>
      </c>
      <c r="I51" s="46"/>
      <c r="J51" s="45"/>
      <c r="K51" s="45"/>
      <c r="L51" s="46"/>
      <c r="M51" s="47">
        <f>Source!U29</f>
        <v>1.2300000000000002</v>
      </c>
    </row>
    <row r="52" spans="1:26" ht="13.8">
      <c r="H52" s="93">
        <f>ROUND(Source!AC29*Source!I29, 0)+ROUND(Source!AF29*Source!I29, 0)+ROUND(Source!AD29*Source!I29, 0)+SUM(I49:I50)</f>
        <v>40</v>
      </c>
      <c r="I52" s="93"/>
      <c r="K52" s="93">
        <f>Source!O29+SUM(L49:L50)</f>
        <v>691</v>
      </c>
      <c r="L52" s="93"/>
      <c r="M52" s="38">
        <f>Source!U29</f>
        <v>1.2300000000000002</v>
      </c>
      <c r="O52" s="37">
        <f>H52</f>
        <v>40</v>
      </c>
      <c r="P52" s="37">
        <f>K52</f>
        <v>691</v>
      </c>
      <c r="Q52" s="48">
        <f>M52</f>
        <v>1.2300000000000002</v>
      </c>
      <c r="W52">
        <f>IF(Source!BI29&lt;=1,H52, 0)</f>
        <v>40</v>
      </c>
      <c r="X52">
        <f>IF(Source!BI29=2,H52, 0)</f>
        <v>0</v>
      </c>
      <c r="Y52">
        <f>IF(Source!BI29=3,H52, 0)</f>
        <v>0</v>
      </c>
      <c r="Z52">
        <f>IF(Source!BI29=4,H52, 0)</f>
        <v>0</v>
      </c>
    </row>
    <row r="53" spans="1:26" ht="86.4">
      <c r="A53" s="27">
        <v>3</v>
      </c>
      <c r="B53" s="27" t="str">
        <f>Source!E30</f>
        <v>3</v>
      </c>
      <c r="C53" s="28" t="str">
        <f>Source!F30</f>
        <v>53-25-1</v>
      </c>
      <c r="D53" s="25" t="str">
        <f>Source!G30</f>
        <v>Устройство металлических перемычек в стенах существующих зданий</v>
      </c>
      <c r="E53" s="30" t="str">
        <f>Source!H30</f>
        <v>1 Т МЕТАЛЛОКОНСТРУКЦИЙ ПЕРЕМЫЧЕК</v>
      </c>
      <c r="F53" s="10">
        <f>Source!I30</f>
        <v>0.01</v>
      </c>
      <c r="G53" s="32">
        <f>IF(Source!AK30&lt;&gt; 0, Source!AK30,Source!AL30 + Source!AM30 + Source!AO30)</f>
        <v>10554.59</v>
      </c>
      <c r="H53" s="31"/>
      <c r="I53" s="33"/>
      <c r="J53" s="31" t="str">
        <f>Source!BO30</f>
        <v>53-25-1</v>
      </c>
      <c r="K53" s="31"/>
      <c r="L53" s="33"/>
      <c r="M53" s="34"/>
      <c r="S53">
        <f>ROUND((Source!FX30/100)*((ROUND(Source!AF30*Source!I30, 0)+ROUND(Source!AE30*Source!I30, 0))), 0)</f>
        <v>8</v>
      </c>
      <c r="T53">
        <f>Source!X30</f>
        <v>169</v>
      </c>
      <c r="U53">
        <f>ROUND((Source!FY30/100)*((ROUND(Source!AF30*Source!I30, 0)+ROUND(Source!AE30*Source!I30, 0))), 0)</f>
        <v>8</v>
      </c>
      <c r="V53">
        <f>Source!Y30</f>
        <v>177</v>
      </c>
    </row>
    <row r="54" spans="1:26" ht="14.4">
      <c r="A54" s="27"/>
      <c r="B54" s="27"/>
      <c r="C54" s="28"/>
      <c r="D54" s="25" t="s">
        <v>962</v>
      </c>
      <c r="E54" s="30"/>
      <c r="F54" s="10"/>
      <c r="G54" s="32">
        <f>Source!AO30</f>
        <v>1338.65</v>
      </c>
      <c r="H54" s="31" t="str">
        <f>Source!DG30</f>
        <v/>
      </c>
      <c r="I54" s="33">
        <f>ROUND(Source!AF30*Source!I30, 0)</f>
        <v>13</v>
      </c>
      <c r="J54" s="31"/>
      <c r="K54" s="31">
        <f>IF(Source!BA30&lt;&gt; 0, Source!BA30, 1)</f>
        <v>20.88</v>
      </c>
      <c r="L54" s="33">
        <f>Source!S30</f>
        <v>280</v>
      </c>
      <c r="M54" s="34"/>
      <c r="R54">
        <f>I54</f>
        <v>13</v>
      </c>
    </row>
    <row r="55" spans="1:26" ht="14.4">
      <c r="A55" s="27"/>
      <c r="B55" s="27"/>
      <c r="C55" s="28"/>
      <c r="D55" s="25" t="s">
        <v>125</v>
      </c>
      <c r="E55" s="30"/>
      <c r="F55" s="10"/>
      <c r="G55" s="32">
        <f>Source!AM30</f>
        <v>53.7</v>
      </c>
      <c r="H55" s="31" t="str">
        <f>Source!DE30</f>
        <v/>
      </c>
      <c r="I55" s="33">
        <f>ROUND(Source!AD30*Source!I30, 0)</f>
        <v>1</v>
      </c>
      <c r="J55" s="31"/>
      <c r="K55" s="31">
        <f>IF(Source!BB30&lt;&gt; 0, Source!BB30, 1)</f>
        <v>9.09</v>
      </c>
      <c r="L55" s="33">
        <f>Source!Q30</f>
        <v>5</v>
      </c>
      <c r="M55" s="34"/>
    </row>
    <row r="56" spans="1:26" ht="14.4">
      <c r="A56" s="27"/>
      <c r="B56" s="27"/>
      <c r="C56" s="28"/>
      <c r="D56" s="25" t="s">
        <v>963</v>
      </c>
      <c r="E56" s="30"/>
      <c r="F56" s="10"/>
      <c r="G56" s="32">
        <f>Source!AN30</f>
        <v>4.2300000000000004</v>
      </c>
      <c r="H56" s="31" t="str">
        <f>Source!DF30</f>
        <v/>
      </c>
      <c r="I56" s="33">
        <f>ROUND(Source!AE30*Source!I30, 0)</f>
        <v>0</v>
      </c>
      <c r="J56" s="31"/>
      <c r="K56" s="31">
        <f>IF(Source!BS30&lt;&gt; 0, Source!BS30, 1)</f>
        <v>20.88</v>
      </c>
      <c r="L56" s="33">
        <f>Source!R30</f>
        <v>1</v>
      </c>
      <c r="M56" s="34"/>
      <c r="R56">
        <f>I56</f>
        <v>0</v>
      </c>
    </row>
    <row r="57" spans="1:26" ht="14.4">
      <c r="A57" s="27"/>
      <c r="B57" s="27"/>
      <c r="C57" s="28"/>
      <c r="D57" s="25" t="s">
        <v>969</v>
      </c>
      <c r="E57" s="30"/>
      <c r="F57" s="10"/>
      <c r="G57" s="32">
        <f>Source!AL30</f>
        <v>9162.24</v>
      </c>
      <c r="H57" s="31" t="str">
        <f>Source!DD30</f>
        <v/>
      </c>
      <c r="I57" s="33">
        <f>ROUND(Source!AC30*Source!I30, 0)</f>
        <v>92</v>
      </c>
      <c r="J57" s="31"/>
      <c r="K57" s="31">
        <f>IF(Source!BC30&lt;&gt; 0, Source!BC30, 1)</f>
        <v>8.4700000000000006</v>
      </c>
      <c r="L57" s="33">
        <f>Source!P30</f>
        <v>776</v>
      </c>
      <c r="M57" s="34"/>
    </row>
    <row r="58" spans="1:26" ht="14.4">
      <c r="A58" s="27"/>
      <c r="B58" s="27"/>
      <c r="C58" s="28"/>
      <c r="D58" s="25" t="s">
        <v>964</v>
      </c>
      <c r="E58" s="30" t="s">
        <v>965</v>
      </c>
      <c r="F58" s="10">
        <f>Source!BZ30</f>
        <v>86</v>
      </c>
      <c r="G58" s="92" t="str">
        <f>CONCATENATE(" )", Source!DL30, Source!FT30, "=", Source!FX30)</f>
        <v xml:space="preserve"> )*0,7=60,2</v>
      </c>
      <c r="H58" s="90"/>
      <c r="I58" s="33">
        <f>SUM(S53:S60)</f>
        <v>8</v>
      </c>
      <c r="J58" s="35"/>
      <c r="K58" s="25">
        <f>Source!AT30</f>
        <v>60</v>
      </c>
      <c r="L58" s="33">
        <f>SUM(T53:T60)</f>
        <v>169</v>
      </c>
      <c r="M58" s="34"/>
    </row>
    <row r="59" spans="1:26" ht="14.4">
      <c r="A59" s="27"/>
      <c r="B59" s="27"/>
      <c r="C59" s="28"/>
      <c r="D59" s="25" t="s">
        <v>966</v>
      </c>
      <c r="E59" s="30" t="s">
        <v>965</v>
      </c>
      <c r="F59" s="10">
        <f>Source!CA30</f>
        <v>70</v>
      </c>
      <c r="G59" s="92" t="str">
        <f>CONCATENATE(" )", Source!DM30, Source!FU30, "=", Source!FY30)</f>
        <v xml:space="preserve"> )*0,9=63</v>
      </c>
      <c r="H59" s="90"/>
      <c r="I59" s="33">
        <f>SUM(U53:U60)</f>
        <v>8</v>
      </c>
      <c r="J59" s="35"/>
      <c r="K59" s="25">
        <f>Source!AU30</f>
        <v>63</v>
      </c>
      <c r="L59" s="33">
        <f>SUM(V53:V60)</f>
        <v>177</v>
      </c>
      <c r="M59" s="34"/>
    </row>
    <row r="60" spans="1:26" ht="14.4">
      <c r="A60" s="39"/>
      <c r="B60" s="39"/>
      <c r="C60" s="40"/>
      <c r="D60" s="41" t="s">
        <v>967</v>
      </c>
      <c r="E60" s="42" t="s">
        <v>968</v>
      </c>
      <c r="F60" s="43">
        <f>Source!AQ30</f>
        <v>165.88</v>
      </c>
      <c r="G60" s="44"/>
      <c r="H60" s="45" t="str">
        <f>Source!DI30</f>
        <v/>
      </c>
      <c r="I60" s="46"/>
      <c r="J60" s="45"/>
      <c r="K60" s="45"/>
      <c r="L60" s="46"/>
      <c r="M60" s="47">
        <f>Source!U30</f>
        <v>1.6588000000000001</v>
      </c>
    </row>
    <row r="61" spans="1:26" ht="13.8">
      <c r="H61" s="93">
        <f>ROUND(Source!AC30*Source!I30, 0)+ROUND(Source!AF30*Source!I30, 0)+ROUND(Source!AD30*Source!I30, 0)+SUM(I58:I59)</f>
        <v>122</v>
      </c>
      <c r="I61" s="93"/>
      <c r="K61" s="93">
        <f>Source!O30+SUM(L58:L59)</f>
        <v>1407</v>
      </c>
      <c r="L61" s="93"/>
      <c r="M61" s="38">
        <f>Source!U30</f>
        <v>1.6588000000000001</v>
      </c>
      <c r="O61" s="37">
        <f>H61</f>
        <v>122</v>
      </c>
      <c r="P61" s="37">
        <f>K61</f>
        <v>1407</v>
      </c>
      <c r="Q61" s="48">
        <f>M61</f>
        <v>1.6588000000000001</v>
      </c>
      <c r="W61">
        <f>IF(Source!BI30&lt;=1,H61, 0)</f>
        <v>122</v>
      </c>
      <c r="X61">
        <f>IF(Source!BI30=2,H61, 0)</f>
        <v>0</v>
      </c>
      <c r="Y61">
        <f>IF(Source!BI30=3,H61, 0)</f>
        <v>0</v>
      </c>
      <c r="Z61">
        <f>IF(Source!BI30=4,H61, 0)</f>
        <v>0</v>
      </c>
    </row>
    <row r="62" spans="1:26" ht="72">
      <c r="A62" s="27">
        <v>4</v>
      </c>
      <c r="B62" s="27" t="str">
        <f>Source!E31</f>
        <v>4</v>
      </c>
      <c r="C62" s="28" t="str">
        <f>Source!F31</f>
        <v>63-7-5</v>
      </c>
      <c r="D62" s="25" t="str">
        <f>Source!G31</f>
        <v>Разборка облицовки стен из керамических глазурованных плиток</v>
      </c>
      <c r="E62" s="30" t="str">
        <f>Source!H31</f>
        <v>100 М2 ПОВЕРХНОСТИ ОБЛИЦОВКИ</v>
      </c>
      <c r="F62" s="10">
        <f>Source!I31</f>
        <v>0.15340000000000001</v>
      </c>
      <c r="G62" s="32">
        <f>IF(Source!AK31&lt;&gt; 0, Source!AK31,Source!AL31 + Source!AM31 + Source!AO31)</f>
        <v>661.01</v>
      </c>
      <c r="H62" s="31"/>
      <c r="I62" s="33"/>
      <c r="J62" s="31" t="str">
        <f>Source!BO31</f>
        <v>63-7-5</v>
      </c>
      <c r="K62" s="31"/>
      <c r="L62" s="33"/>
      <c r="M62" s="34"/>
      <c r="S62">
        <f>ROUND((Source!FX31/100)*((ROUND(Source!AF31*Source!I31, 0)+ROUND(Source!AE31*Source!I31, 0))), 0)</f>
        <v>47</v>
      </c>
      <c r="T62">
        <f>Source!X31</f>
        <v>979</v>
      </c>
      <c r="U62">
        <f>ROUND((Source!FY31/100)*((ROUND(Source!AF31*Source!I31, 0)+ROUND(Source!AE31*Source!I31, 0))), 0)</f>
        <v>39</v>
      </c>
      <c r="V62">
        <f>Source!Y31</f>
        <v>816</v>
      </c>
    </row>
    <row r="63" spans="1:26">
      <c r="D63" s="49" t="str">
        <f>"Объем: "&amp;Source!I31&amp;"=15,34/"&amp;"100"</f>
        <v>Объем: 0,1534=15,34/100</v>
      </c>
    </row>
    <row r="64" spans="1:26" ht="14.4">
      <c r="A64" s="27"/>
      <c r="B64" s="27"/>
      <c r="C64" s="28"/>
      <c r="D64" s="25" t="s">
        <v>962</v>
      </c>
      <c r="E64" s="30"/>
      <c r="F64" s="10"/>
      <c r="G64" s="32">
        <f>Source!AO31</f>
        <v>546.85</v>
      </c>
      <c r="H64" s="31" t="str">
        <f>Source!DG31</f>
        <v/>
      </c>
      <c r="I64" s="33">
        <f>ROUND(Source!AF31*Source!I31, 0)</f>
        <v>84</v>
      </c>
      <c r="J64" s="31"/>
      <c r="K64" s="31">
        <f>IF(Source!BA31&lt;&gt; 0, Source!BA31, 1)</f>
        <v>20.88</v>
      </c>
      <c r="L64" s="33">
        <f>Source!S31</f>
        <v>1752</v>
      </c>
      <c r="M64" s="34"/>
      <c r="R64">
        <f>I64</f>
        <v>84</v>
      </c>
    </row>
    <row r="65" spans="1:26" ht="14.4">
      <c r="A65" s="27"/>
      <c r="B65" s="27"/>
      <c r="C65" s="28"/>
      <c r="D65" s="25" t="s">
        <v>125</v>
      </c>
      <c r="E65" s="30"/>
      <c r="F65" s="10"/>
      <c r="G65" s="32">
        <f>Source!AM31</f>
        <v>114.16</v>
      </c>
      <c r="H65" s="31" t="str">
        <f>Source!DE31</f>
        <v/>
      </c>
      <c r="I65" s="33">
        <f>ROUND(Source!AD31*Source!I31, 0)</f>
        <v>18</v>
      </c>
      <c r="J65" s="31"/>
      <c r="K65" s="31">
        <f>IF(Source!BB31&lt;&gt; 0, Source!BB31, 1)</f>
        <v>9.66</v>
      </c>
      <c r="L65" s="33">
        <f>Source!Q31</f>
        <v>169</v>
      </c>
      <c r="M65" s="34"/>
    </row>
    <row r="66" spans="1:26" ht="14.4">
      <c r="A66" s="27"/>
      <c r="B66" s="27"/>
      <c r="C66" s="28"/>
      <c r="D66" s="25" t="s">
        <v>963</v>
      </c>
      <c r="E66" s="30"/>
      <c r="F66" s="10"/>
      <c r="G66" s="32">
        <f>Source!AN31</f>
        <v>19</v>
      </c>
      <c r="H66" s="31" t="str">
        <f>Source!DF31</f>
        <v/>
      </c>
      <c r="I66" s="33">
        <f>ROUND(Source!AE31*Source!I31, 0)</f>
        <v>3</v>
      </c>
      <c r="J66" s="31"/>
      <c r="K66" s="31">
        <f>IF(Source!BS31&lt;&gt; 0, Source!BS31, 1)</f>
        <v>20.88</v>
      </c>
      <c r="L66" s="33">
        <f>Source!R31</f>
        <v>61</v>
      </c>
      <c r="M66" s="34"/>
      <c r="R66">
        <f>I66</f>
        <v>3</v>
      </c>
    </row>
    <row r="67" spans="1:26" ht="14.4">
      <c r="A67" s="27"/>
      <c r="B67" s="27"/>
      <c r="C67" s="28"/>
      <c r="D67" s="25" t="s">
        <v>964</v>
      </c>
      <c r="E67" s="30" t="s">
        <v>965</v>
      </c>
      <c r="F67" s="10">
        <f>Source!BZ31</f>
        <v>77</v>
      </c>
      <c r="G67" s="92" t="str">
        <f>CONCATENATE(" )", Source!DL31, Source!FT31, "=", Source!FX31)</f>
        <v xml:space="preserve"> )*0,7=53,9</v>
      </c>
      <c r="H67" s="90"/>
      <c r="I67" s="33">
        <f>SUM(S62:S69)</f>
        <v>47</v>
      </c>
      <c r="J67" s="35"/>
      <c r="K67" s="25">
        <f>Source!AT31</f>
        <v>54</v>
      </c>
      <c r="L67" s="33">
        <f>SUM(T62:T69)</f>
        <v>979</v>
      </c>
      <c r="M67" s="34"/>
    </row>
    <row r="68" spans="1:26" ht="14.4">
      <c r="A68" s="27"/>
      <c r="B68" s="27"/>
      <c r="C68" s="28"/>
      <c r="D68" s="25" t="s">
        <v>966</v>
      </c>
      <c r="E68" s="30" t="s">
        <v>965</v>
      </c>
      <c r="F68" s="10">
        <f>Source!CA31</f>
        <v>50</v>
      </c>
      <c r="G68" s="92" t="str">
        <f>CONCATENATE(" )", Source!DM31, Source!FU31, "=", Source!FY31)</f>
        <v xml:space="preserve"> )*0,9=45</v>
      </c>
      <c r="H68" s="90"/>
      <c r="I68" s="33">
        <f>SUM(U62:U69)</f>
        <v>39</v>
      </c>
      <c r="J68" s="35"/>
      <c r="K68" s="25">
        <f>Source!AU31</f>
        <v>45</v>
      </c>
      <c r="L68" s="33">
        <f>SUM(V62:V69)</f>
        <v>816</v>
      </c>
      <c r="M68" s="34"/>
    </row>
    <row r="69" spans="1:26" ht="14.4">
      <c r="A69" s="39"/>
      <c r="B69" s="39"/>
      <c r="C69" s="40"/>
      <c r="D69" s="41" t="s">
        <v>967</v>
      </c>
      <c r="E69" s="42" t="s">
        <v>968</v>
      </c>
      <c r="F69" s="43">
        <f>Source!AQ31</f>
        <v>74.3</v>
      </c>
      <c r="G69" s="44"/>
      <c r="H69" s="45" t="str">
        <f>Source!DI31</f>
        <v/>
      </c>
      <c r="I69" s="46"/>
      <c r="J69" s="45"/>
      <c r="K69" s="45"/>
      <c r="L69" s="46"/>
      <c r="M69" s="47">
        <f>Source!U31</f>
        <v>11.39762</v>
      </c>
    </row>
    <row r="70" spans="1:26" ht="13.8">
      <c r="H70" s="93">
        <f>ROUND(Source!AC31*Source!I31, 0)+ROUND(Source!AF31*Source!I31, 0)+ROUND(Source!AD31*Source!I31, 0)+SUM(I67:I68)</f>
        <v>188</v>
      </c>
      <c r="I70" s="93"/>
      <c r="K70" s="93">
        <f>Source!O31+SUM(L67:L68)</f>
        <v>3716</v>
      </c>
      <c r="L70" s="93"/>
      <c r="M70" s="38">
        <f>Source!U31</f>
        <v>11.39762</v>
      </c>
      <c r="O70" s="37">
        <f>H70</f>
        <v>188</v>
      </c>
      <c r="P70" s="37">
        <f>K70</f>
        <v>3716</v>
      </c>
      <c r="Q70" s="48">
        <f>M70</f>
        <v>11.39762</v>
      </c>
      <c r="W70">
        <f>IF(Source!BI31&lt;=1,H70, 0)</f>
        <v>188</v>
      </c>
      <c r="X70">
        <f>IF(Source!BI31=2,H70, 0)</f>
        <v>0</v>
      </c>
      <c r="Y70">
        <f>IF(Source!BI31=3,H70, 0)</f>
        <v>0</v>
      </c>
      <c r="Z70">
        <f>IF(Source!BI31=4,H70, 0)</f>
        <v>0</v>
      </c>
    </row>
    <row r="71" spans="1:26" ht="43.2">
      <c r="A71" s="27">
        <v>5</v>
      </c>
      <c r="B71" s="27" t="str">
        <f>Source!E32</f>
        <v>5</v>
      </c>
      <c r="C71" s="28" t="str">
        <f>Source!F32</f>
        <v>57-2-3</v>
      </c>
      <c r="D71" s="25" t="str">
        <f>Source!G32</f>
        <v>Разборка покрытий полов из керамических плиток</v>
      </c>
      <c r="E71" s="30" t="str">
        <f>Source!H32</f>
        <v>100 м2 покрытия</v>
      </c>
      <c r="F71" s="10">
        <f>Source!I32</f>
        <v>3.9E-2</v>
      </c>
      <c r="G71" s="32">
        <f>IF(Source!AK32&lt;&gt; 0, Source!AK32,Source!AL32 + Source!AM32 + Source!AO32)</f>
        <v>603.07000000000005</v>
      </c>
      <c r="H71" s="31"/>
      <c r="I71" s="33"/>
      <c r="J71" s="31" t="str">
        <f>Source!BO32</f>
        <v>57-2-3</v>
      </c>
      <c r="K71" s="31"/>
      <c r="L71" s="33"/>
      <c r="M71" s="34"/>
      <c r="S71">
        <f>ROUND((Source!FX32/100)*((ROUND(Source!AF32*Source!I32, 0)+ROUND(Source!AE32*Source!I32, 0))), 0)</f>
        <v>13</v>
      </c>
      <c r="T71">
        <f>Source!X32</f>
        <v>262</v>
      </c>
      <c r="U71">
        <f>ROUND((Source!FY32/100)*((ROUND(Source!AF32*Source!I32, 0)+ROUND(Source!AE32*Source!I32, 0))), 0)</f>
        <v>14</v>
      </c>
      <c r="V71">
        <f>Source!Y32</f>
        <v>285</v>
      </c>
    </row>
    <row r="72" spans="1:26">
      <c r="D72" s="49" t="str">
        <f>"Объем: "&amp;Source!I32&amp;"=3,9/"&amp;"100"</f>
        <v>Объем: 0,039=3,9/100</v>
      </c>
    </row>
    <row r="73" spans="1:26" ht="14.4">
      <c r="A73" s="27"/>
      <c r="B73" s="27"/>
      <c r="C73" s="28"/>
      <c r="D73" s="25" t="s">
        <v>962</v>
      </c>
      <c r="E73" s="30"/>
      <c r="F73" s="10"/>
      <c r="G73" s="32">
        <f>Source!AO32</f>
        <v>556.86</v>
      </c>
      <c r="H73" s="31" t="str">
        <f>Source!DG32</f>
        <v/>
      </c>
      <c r="I73" s="33">
        <f>ROUND(Source!AF32*Source!I32, 0)</f>
        <v>22</v>
      </c>
      <c r="J73" s="31"/>
      <c r="K73" s="31">
        <f>IF(Source!BA32&lt;&gt; 0, Source!BA32, 1)</f>
        <v>20.88</v>
      </c>
      <c r="L73" s="33">
        <f>Source!S32</f>
        <v>453</v>
      </c>
      <c r="M73" s="34"/>
      <c r="R73">
        <f>I73</f>
        <v>22</v>
      </c>
    </row>
    <row r="74" spans="1:26" ht="14.4">
      <c r="A74" s="27"/>
      <c r="B74" s="27"/>
      <c r="C74" s="28"/>
      <c r="D74" s="25" t="s">
        <v>125</v>
      </c>
      <c r="E74" s="30"/>
      <c r="F74" s="10"/>
      <c r="G74" s="32">
        <f>Source!AM32</f>
        <v>46.21</v>
      </c>
      <c r="H74" s="31" t="str">
        <f>Source!DE32</f>
        <v/>
      </c>
      <c r="I74" s="33">
        <f>ROUND(Source!AD32*Source!I32, 0)</f>
        <v>2</v>
      </c>
      <c r="J74" s="31"/>
      <c r="K74" s="31">
        <f>IF(Source!BB32&lt;&gt; 0, Source!BB32, 1)</f>
        <v>10.210000000000001</v>
      </c>
      <c r="L74" s="33">
        <f>Source!Q32</f>
        <v>18</v>
      </c>
      <c r="M74" s="34"/>
    </row>
    <row r="75" spans="1:26" ht="14.4">
      <c r="A75" s="27"/>
      <c r="B75" s="27"/>
      <c r="C75" s="28"/>
      <c r="D75" s="25" t="s">
        <v>963</v>
      </c>
      <c r="E75" s="30"/>
      <c r="F75" s="10"/>
      <c r="G75" s="32">
        <f>Source!AN32</f>
        <v>17.420000000000002</v>
      </c>
      <c r="H75" s="31" t="str">
        <f>Source!DF32</f>
        <v/>
      </c>
      <c r="I75" s="33">
        <f>ROUND(Source!AE32*Source!I32, 0)</f>
        <v>1</v>
      </c>
      <c r="J75" s="31"/>
      <c r="K75" s="31">
        <f>IF(Source!BS32&lt;&gt; 0, Source!BS32, 1)</f>
        <v>20.88</v>
      </c>
      <c r="L75" s="33">
        <f>Source!R32</f>
        <v>14</v>
      </c>
      <c r="M75" s="34"/>
      <c r="R75">
        <f>I75</f>
        <v>1</v>
      </c>
    </row>
    <row r="76" spans="1:26" ht="14.4">
      <c r="A76" s="27"/>
      <c r="B76" s="27"/>
      <c r="C76" s="28"/>
      <c r="D76" s="25" t="s">
        <v>964</v>
      </c>
      <c r="E76" s="30" t="s">
        <v>965</v>
      </c>
      <c r="F76" s="10">
        <f>Source!BZ32</f>
        <v>80</v>
      </c>
      <c r="G76" s="92" t="str">
        <f>CONCATENATE(" )", Source!DL32, Source!FT32, "=", Source!FX32)</f>
        <v xml:space="preserve"> )*0,7=56</v>
      </c>
      <c r="H76" s="90"/>
      <c r="I76" s="33">
        <f>SUM(S71:S78)</f>
        <v>13</v>
      </c>
      <c r="J76" s="35"/>
      <c r="K76" s="25">
        <f>Source!AT32</f>
        <v>56</v>
      </c>
      <c r="L76" s="33">
        <f>SUM(T71:T78)</f>
        <v>262</v>
      </c>
      <c r="M76" s="34"/>
    </row>
    <row r="77" spans="1:26" ht="14.4">
      <c r="A77" s="27"/>
      <c r="B77" s="27"/>
      <c r="C77" s="28"/>
      <c r="D77" s="25" t="s">
        <v>966</v>
      </c>
      <c r="E77" s="30" t="s">
        <v>965</v>
      </c>
      <c r="F77" s="10">
        <f>Source!CA32</f>
        <v>68</v>
      </c>
      <c r="G77" s="92" t="str">
        <f>CONCATENATE(" )", Source!DM32, Source!FU32, "=", Source!FY32)</f>
        <v xml:space="preserve"> )*0,9=61,2</v>
      </c>
      <c r="H77" s="90"/>
      <c r="I77" s="33">
        <f>SUM(U71:U78)</f>
        <v>14</v>
      </c>
      <c r="J77" s="35"/>
      <c r="K77" s="25">
        <f>Source!AU32</f>
        <v>61</v>
      </c>
      <c r="L77" s="33">
        <f>SUM(V71:V78)</f>
        <v>285</v>
      </c>
      <c r="M77" s="34"/>
    </row>
    <row r="78" spans="1:26" ht="14.4">
      <c r="A78" s="39"/>
      <c r="B78" s="39"/>
      <c r="C78" s="40"/>
      <c r="D78" s="41" t="s">
        <v>967</v>
      </c>
      <c r="E78" s="42" t="s">
        <v>968</v>
      </c>
      <c r="F78" s="43">
        <f>Source!AQ32</f>
        <v>69.87</v>
      </c>
      <c r="G78" s="44"/>
      <c r="H78" s="45" t="str">
        <f>Source!DI32</f>
        <v/>
      </c>
      <c r="I78" s="46"/>
      <c r="J78" s="45"/>
      <c r="K78" s="45"/>
      <c r="L78" s="46"/>
      <c r="M78" s="47">
        <f>Source!U32</f>
        <v>2.7249300000000001</v>
      </c>
    </row>
    <row r="79" spans="1:26" ht="13.8">
      <c r="H79" s="93">
        <f>ROUND(Source!AC32*Source!I32, 0)+ROUND(Source!AF32*Source!I32, 0)+ROUND(Source!AD32*Source!I32, 0)+SUM(I76:I77)</f>
        <v>51</v>
      </c>
      <c r="I79" s="93"/>
      <c r="K79" s="93">
        <f>Source!O32+SUM(L76:L77)</f>
        <v>1018</v>
      </c>
      <c r="L79" s="93"/>
      <c r="M79" s="38">
        <f>Source!U32</f>
        <v>2.7249300000000001</v>
      </c>
      <c r="O79" s="37">
        <f>H79</f>
        <v>51</v>
      </c>
      <c r="P79" s="37">
        <f>K79</f>
        <v>1018</v>
      </c>
      <c r="Q79" s="48">
        <f>M79</f>
        <v>2.7249300000000001</v>
      </c>
      <c r="W79">
        <f>IF(Source!BI32&lt;=1,H79, 0)</f>
        <v>51</v>
      </c>
      <c r="X79">
        <f>IF(Source!BI32=2,H79, 0)</f>
        <v>0</v>
      </c>
      <c r="Y79">
        <f>IF(Source!BI32=3,H79, 0)</f>
        <v>0</v>
      </c>
      <c r="Z79">
        <f>IF(Source!BI32=4,H79, 0)</f>
        <v>0</v>
      </c>
    </row>
    <row r="80" spans="1:26" ht="28.2">
      <c r="A80" s="27">
        <v>6</v>
      </c>
      <c r="B80" s="27" t="str">
        <f>Source!E33</f>
        <v>6</v>
      </c>
      <c r="C80" s="28" t="str">
        <f>Source!F33</f>
        <v>46-04-012-3</v>
      </c>
      <c r="D80" s="25" t="str">
        <f>Source!G33</f>
        <v>Разборка деревянных заполнений проемов дверных и воротных</v>
      </c>
      <c r="E80" s="30" t="str">
        <f>Source!H33</f>
        <v>100 м2</v>
      </c>
      <c r="F80" s="10">
        <f>Source!I33</f>
        <v>2.9399999999999999E-2</v>
      </c>
      <c r="G80" s="32">
        <f>IF(Source!AK33&lt;&gt; 0, Source!AK33,Source!AL33 + Source!AM33 + Source!AO33)</f>
        <v>1033.94</v>
      </c>
      <c r="H80" s="31"/>
      <c r="I80" s="33"/>
      <c r="J80" s="31" t="str">
        <f>Source!BO33</f>
        <v>46-04-012-3</v>
      </c>
      <c r="K80" s="31"/>
      <c r="L80" s="33"/>
      <c r="M80" s="34"/>
      <c r="S80">
        <f>ROUND((Source!FX33/100)*((ROUND(Source!AF33*Source!I33, 0)+ROUND(Source!AE33*Source!I33, 0))), 0)</f>
        <v>18</v>
      </c>
      <c r="T80">
        <f>Source!X33</f>
        <v>372</v>
      </c>
      <c r="U80">
        <f>ROUND((Source!FY33/100)*((ROUND(Source!AF33*Source!I33, 0)+ROUND(Source!AE33*Source!I33, 0))), 0)</f>
        <v>14</v>
      </c>
      <c r="V80">
        <f>Source!Y33</f>
        <v>291</v>
      </c>
    </row>
    <row r="81" spans="1:26">
      <c r="D81" s="49" t="str">
        <f>"Объем: "&amp;Source!I33&amp;"=2,94/"&amp;"100"</f>
        <v>Объем: 0,0294=2,94/100</v>
      </c>
    </row>
    <row r="82" spans="1:26" ht="14.4">
      <c r="A82" s="27"/>
      <c r="B82" s="27"/>
      <c r="C82" s="28"/>
      <c r="D82" s="25" t="s">
        <v>962</v>
      </c>
      <c r="E82" s="30"/>
      <c r="F82" s="10"/>
      <c r="G82" s="32">
        <f>Source!AO33</f>
        <v>785.56</v>
      </c>
      <c r="H82" s="31" t="str">
        <f>Source!DG33</f>
        <v/>
      </c>
      <c r="I82" s="33">
        <f>ROUND(Source!AF33*Source!I33, 0)</f>
        <v>23</v>
      </c>
      <c r="J82" s="31"/>
      <c r="K82" s="31">
        <f>IF(Source!BA33&lt;&gt; 0, Source!BA33, 1)</f>
        <v>20.88</v>
      </c>
      <c r="L82" s="33">
        <f>Source!S33</f>
        <v>482</v>
      </c>
      <c r="M82" s="34"/>
      <c r="R82">
        <f>I82</f>
        <v>23</v>
      </c>
    </row>
    <row r="83" spans="1:26" ht="14.4">
      <c r="A83" s="27"/>
      <c r="B83" s="27"/>
      <c r="C83" s="28"/>
      <c r="D83" s="25" t="s">
        <v>125</v>
      </c>
      <c r="E83" s="30"/>
      <c r="F83" s="10"/>
      <c r="G83" s="32">
        <f>Source!AM33</f>
        <v>248.38</v>
      </c>
      <c r="H83" s="31" t="str">
        <f>Source!DE33</f>
        <v/>
      </c>
      <c r="I83" s="33">
        <f>ROUND(Source!AD33*Source!I33, 0)</f>
        <v>7</v>
      </c>
      <c r="J83" s="31"/>
      <c r="K83" s="31">
        <f>IF(Source!BB33&lt;&gt; 0, Source!BB33, 1)</f>
        <v>10.210000000000001</v>
      </c>
      <c r="L83" s="33">
        <f>Source!Q33</f>
        <v>75</v>
      </c>
      <c r="M83" s="34"/>
    </row>
    <row r="84" spans="1:26" ht="14.4">
      <c r="A84" s="27"/>
      <c r="B84" s="27"/>
      <c r="C84" s="28"/>
      <c r="D84" s="25" t="s">
        <v>963</v>
      </c>
      <c r="E84" s="30"/>
      <c r="F84" s="10"/>
      <c r="G84" s="32">
        <f>Source!AN33</f>
        <v>93.65</v>
      </c>
      <c r="H84" s="31" t="str">
        <f>Source!DF33</f>
        <v/>
      </c>
      <c r="I84" s="33">
        <f>ROUND(Source!AE33*Source!I33, 0)</f>
        <v>3</v>
      </c>
      <c r="J84" s="31"/>
      <c r="K84" s="31">
        <f>IF(Source!BS33&lt;&gt; 0, Source!BS33, 1)</f>
        <v>20.88</v>
      </c>
      <c r="L84" s="33">
        <f>Source!R33</f>
        <v>57</v>
      </c>
      <c r="M84" s="34"/>
      <c r="R84">
        <f>I84</f>
        <v>3</v>
      </c>
    </row>
    <row r="85" spans="1:26" ht="14.4">
      <c r="A85" s="27"/>
      <c r="B85" s="27"/>
      <c r="C85" s="28"/>
      <c r="D85" s="25" t="s">
        <v>964</v>
      </c>
      <c r="E85" s="30" t="s">
        <v>965</v>
      </c>
      <c r="F85" s="10">
        <f>Source!BZ33</f>
        <v>110</v>
      </c>
      <c r="G85" s="92" t="str">
        <f>CONCATENATE(" )", Source!DL33, Source!FT33, "=", Source!FX33)</f>
        <v xml:space="preserve"> )*0,9*0,7=69,3</v>
      </c>
      <c r="H85" s="90"/>
      <c r="I85" s="33">
        <f>SUM(S80:S87)</f>
        <v>18</v>
      </c>
      <c r="J85" s="35"/>
      <c r="K85" s="25">
        <f>Source!AT33</f>
        <v>69</v>
      </c>
      <c r="L85" s="33">
        <f>SUM(T80:T87)</f>
        <v>372</v>
      </c>
      <c r="M85" s="34"/>
    </row>
    <row r="86" spans="1:26" ht="14.4">
      <c r="A86" s="27"/>
      <c r="B86" s="27"/>
      <c r="C86" s="28"/>
      <c r="D86" s="25" t="s">
        <v>966</v>
      </c>
      <c r="E86" s="30" t="s">
        <v>965</v>
      </c>
      <c r="F86" s="10">
        <f>Source!CA33</f>
        <v>70</v>
      </c>
      <c r="G86" s="92" t="str">
        <f>CONCATENATE(" )", Source!DM33, Source!FU33, "=", Source!FY33)</f>
        <v xml:space="preserve"> )*0,85*0,9=53,55</v>
      </c>
      <c r="H86" s="90"/>
      <c r="I86" s="33">
        <f>SUM(U80:U87)</f>
        <v>14</v>
      </c>
      <c r="J86" s="35"/>
      <c r="K86" s="25">
        <f>Source!AU33</f>
        <v>54</v>
      </c>
      <c r="L86" s="33">
        <f>SUM(V80:V87)</f>
        <v>291</v>
      </c>
      <c r="M86" s="34"/>
    </row>
    <row r="87" spans="1:26" ht="14.4">
      <c r="A87" s="39"/>
      <c r="B87" s="39"/>
      <c r="C87" s="40"/>
      <c r="D87" s="41" t="s">
        <v>967</v>
      </c>
      <c r="E87" s="42" t="s">
        <v>968</v>
      </c>
      <c r="F87" s="43">
        <f>Source!AQ33</f>
        <v>103.91</v>
      </c>
      <c r="G87" s="44"/>
      <c r="H87" s="45" t="str">
        <f>Source!DI33</f>
        <v/>
      </c>
      <c r="I87" s="46"/>
      <c r="J87" s="45"/>
      <c r="K87" s="45"/>
      <c r="L87" s="46"/>
      <c r="M87" s="47">
        <f>Source!U33</f>
        <v>3.0549539999999999</v>
      </c>
    </row>
    <row r="88" spans="1:26" ht="13.8">
      <c r="H88" s="93">
        <f>ROUND(Source!AC33*Source!I33, 0)+ROUND(Source!AF33*Source!I33, 0)+ROUND(Source!AD33*Source!I33, 0)+SUM(I85:I86)</f>
        <v>62</v>
      </c>
      <c r="I88" s="93"/>
      <c r="K88" s="93">
        <f>Source!O33+SUM(L85:L86)</f>
        <v>1220</v>
      </c>
      <c r="L88" s="93"/>
      <c r="M88" s="38">
        <f>Source!U33</f>
        <v>3.0549539999999999</v>
      </c>
      <c r="O88" s="37">
        <f>H88</f>
        <v>62</v>
      </c>
      <c r="P88" s="37">
        <f>K88</f>
        <v>1220</v>
      </c>
      <c r="Q88" s="48">
        <f>M88</f>
        <v>3.0549539999999999</v>
      </c>
      <c r="W88">
        <f>IF(Source!BI33&lt;=1,H88, 0)</f>
        <v>62</v>
      </c>
      <c r="X88">
        <f>IF(Source!BI33=2,H88, 0)</f>
        <v>0</v>
      </c>
      <c r="Y88">
        <f>IF(Source!BI33=3,H88, 0)</f>
        <v>0</v>
      </c>
      <c r="Z88">
        <f>IF(Source!BI33=4,H88, 0)</f>
        <v>0</v>
      </c>
    </row>
    <row r="89" spans="1:26" ht="28.2">
      <c r="A89" s="27">
        <v>7</v>
      </c>
      <c r="B89" s="27" t="str">
        <f>Source!E34</f>
        <v>7</v>
      </c>
      <c r="C89" s="28" t="str">
        <f>Source!F34</f>
        <v>46-02-009-2</v>
      </c>
      <c r="D89" s="25" t="str">
        <f>Source!G34</f>
        <v>Отбивка штукатурки с поверхностей стен и потолков кирпичных</v>
      </c>
      <c r="E89" s="30" t="str">
        <f>Source!H34</f>
        <v>100 м2</v>
      </c>
      <c r="F89" s="10">
        <f>Source!I34</f>
        <v>0.2089</v>
      </c>
      <c r="G89" s="32">
        <f>IF(Source!AK34&lt;&gt; 0, Source!AK34,Source!AL34 + Source!AM34 + Source!AO34)</f>
        <v>166.36</v>
      </c>
      <c r="H89" s="31"/>
      <c r="I89" s="33"/>
      <c r="J89" s="31" t="str">
        <f>Source!BO34</f>
        <v>46-02-009-2</v>
      </c>
      <c r="K89" s="31"/>
      <c r="L89" s="33"/>
      <c r="M89" s="34"/>
      <c r="S89">
        <f>ROUND((Source!FX34/100)*((ROUND(Source!AF34*Source!I34, 0)+ROUND(Source!AE34*Source!I34, 0))), 0)</f>
        <v>24</v>
      </c>
      <c r="T89">
        <f>Source!X34</f>
        <v>501</v>
      </c>
      <c r="U89">
        <f>ROUND((Source!FY34/100)*((ROUND(Source!AF34*Source!I34, 0)+ROUND(Source!AE34*Source!I34, 0))), 0)</f>
        <v>19</v>
      </c>
      <c r="V89">
        <f>Source!Y34</f>
        <v>392</v>
      </c>
    </row>
    <row r="90" spans="1:26">
      <c r="D90" s="49" t="str">
        <f>"Объем: "&amp;Source!I34&amp;"=20,89/"&amp;"100"</f>
        <v>Объем: 0,2089=20,89/100</v>
      </c>
    </row>
    <row r="91" spans="1:26" ht="14.4">
      <c r="A91" s="27"/>
      <c r="B91" s="27"/>
      <c r="C91" s="28"/>
      <c r="D91" s="25" t="s">
        <v>962</v>
      </c>
      <c r="E91" s="30"/>
      <c r="F91" s="10"/>
      <c r="G91" s="32">
        <f>Source!AO34</f>
        <v>166.36</v>
      </c>
      <c r="H91" s="31" t="str">
        <f>Source!DG34</f>
        <v/>
      </c>
      <c r="I91" s="33">
        <f>ROUND(Source!AF34*Source!I34, 0)</f>
        <v>35</v>
      </c>
      <c r="J91" s="31"/>
      <c r="K91" s="31">
        <f>IF(Source!BA34&lt;&gt; 0, Source!BA34, 1)</f>
        <v>20.88</v>
      </c>
      <c r="L91" s="33">
        <f>Source!S34</f>
        <v>726</v>
      </c>
      <c r="M91" s="34"/>
      <c r="R91">
        <f>I91</f>
        <v>35</v>
      </c>
    </row>
    <row r="92" spans="1:26" ht="14.4">
      <c r="A92" s="27"/>
      <c r="B92" s="27"/>
      <c r="C92" s="28"/>
      <c r="D92" s="25" t="s">
        <v>964</v>
      </c>
      <c r="E92" s="30" t="s">
        <v>965</v>
      </c>
      <c r="F92" s="10">
        <f>Source!BZ34</f>
        <v>110</v>
      </c>
      <c r="G92" s="92" t="str">
        <f>CONCATENATE(" )", Source!DL34, Source!FT34, "=", Source!FX34)</f>
        <v xml:space="preserve"> )*0,9*0,7=69,3</v>
      </c>
      <c r="H92" s="90"/>
      <c r="I92" s="33">
        <f>SUM(S89:S94)</f>
        <v>24</v>
      </c>
      <c r="J92" s="35"/>
      <c r="K92" s="25">
        <f>Source!AT34</f>
        <v>69</v>
      </c>
      <c r="L92" s="33">
        <f>SUM(T89:T94)</f>
        <v>501</v>
      </c>
      <c r="M92" s="34"/>
    </row>
    <row r="93" spans="1:26" ht="14.4">
      <c r="A93" s="27"/>
      <c r="B93" s="27"/>
      <c r="C93" s="28"/>
      <c r="D93" s="25" t="s">
        <v>966</v>
      </c>
      <c r="E93" s="30" t="s">
        <v>965</v>
      </c>
      <c r="F93" s="10">
        <f>Source!CA34</f>
        <v>70</v>
      </c>
      <c r="G93" s="92" t="str">
        <f>CONCATENATE(" )", Source!DM34, Source!FU34, "=", Source!FY34)</f>
        <v xml:space="preserve"> )*0,85*0,9=53,55</v>
      </c>
      <c r="H93" s="90"/>
      <c r="I93" s="33">
        <f>SUM(U89:U94)</f>
        <v>19</v>
      </c>
      <c r="J93" s="35"/>
      <c r="K93" s="25">
        <f>Source!AU34</f>
        <v>54</v>
      </c>
      <c r="L93" s="33">
        <f>SUM(V89:V94)</f>
        <v>392</v>
      </c>
      <c r="M93" s="34"/>
    </row>
    <row r="94" spans="1:26" ht="14.4">
      <c r="A94" s="39"/>
      <c r="B94" s="39"/>
      <c r="C94" s="40"/>
      <c r="D94" s="41" t="s">
        <v>967</v>
      </c>
      <c r="E94" s="42" t="s">
        <v>968</v>
      </c>
      <c r="F94" s="43">
        <f>Source!AQ34</f>
        <v>22.82</v>
      </c>
      <c r="G94" s="44"/>
      <c r="H94" s="45" t="str">
        <f>Source!DI34</f>
        <v/>
      </c>
      <c r="I94" s="46"/>
      <c r="J94" s="45"/>
      <c r="K94" s="45"/>
      <c r="L94" s="46"/>
      <c r="M94" s="47">
        <f>Source!U34</f>
        <v>4.7670979999999998</v>
      </c>
    </row>
    <row r="95" spans="1:26" ht="13.8">
      <c r="H95" s="93">
        <f>ROUND(Source!AC34*Source!I34, 0)+ROUND(Source!AF34*Source!I34, 0)+ROUND(Source!AD34*Source!I34, 0)+SUM(I92:I93)</f>
        <v>78</v>
      </c>
      <c r="I95" s="93"/>
      <c r="K95" s="93">
        <f>Source!O34+SUM(L92:L93)</f>
        <v>1619</v>
      </c>
      <c r="L95" s="93"/>
      <c r="M95" s="38">
        <f>Source!U34</f>
        <v>4.7670979999999998</v>
      </c>
      <c r="O95" s="37">
        <f>H95</f>
        <v>78</v>
      </c>
      <c r="P95" s="37">
        <f>K95</f>
        <v>1619</v>
      </c>
      <c r="Q95" s="48">
        <f>M95</f>
        <v>4.7670979999999998</v>
      </c>
      <c r="W95">
        <f>IF(Source!BI34&lt;=1,H95, 0)</f>
        <v>78</v>
      </c>
      <c r="X95">
        <f>IF(Source!BI34=2,H95, 0)</f>
        <v>0</v>
      </c>
      <c r="Y95">
        <f>IF(Source!BI34=3,H95, 0)</f>
        <v>0</v>
      </c>
      <c r="Z95">
        <f>IF(Source!BI34=4,H95, 0)</f>
        <v>0</v>
      </c>
    </row>
    <row r="96" spans="1:26" ht="28.2">
      <c r="A96" s="27">
        <v>8</v>
      </c>
      <c r="B96" s="27" t="str">
        <f>Source!E35</f>
        <v>8</v>
      </c>
      <c r="C96" s="28" t="str">
        <f>Source!F35</f>
        <v>67-4-5</v>
      </c>
      <c r="D96" s="25" t="str">
        <f>Source!G35</f>
        <v>Демонтаж светильников для люминесцентных ламп</v>
      </c>
      <c r="E96" s="30" t="str">
        <f>Source!H35</f>
        <v>100 шт.</v>
      </c>
      <c r="F96" s="10">
        <f>Source!I35</f>
        <v>0.02</v>
      </c>
      <c r="G96" s="32">
        <f>IF(Source!AK35&lt;&gt; 0, Source!AK35,Source!AL35 + Source!AM35 + Source!AO35)</f>
        <v>136.57</v>
      </c>
      <c r="H96" s="31"/>
      <c r="I96" s="33"/>
      <c r="J96" s="31" t="str">
        <f>Source!BO35</f>
        <v>67-4-5</v>
      </c>
      <c r="K96" s="31"/>
      <c r="L96" s="33"/>
      <c r="M96" s="34"/>
      <c r="S96">
        <f>ROUND((Source!FX35/100)*((ROUND(Source!AF35*Source!I35, 0)+ROUND(Source!AE35*Source!I35, 0))), 0)</f>
        <v>2</v>
      </c>
      <c r="T96">
        <f>Source!X35</f>
        <v>34</v>
      </c>
      <c r="U96">
        <f>ROUND((Source!FY35/100)*((ROUND(Source!AF35*Source!I35, 0)+ROUND(Source!AE35*Source!I35, 0))), 0)</f>
        <v>2</v>
      </c>
      <c r="V96">
        <f>Source!Y35</f>
        <v>33</v>
      </c>
    </row>
    <row r="97" spans="1:26">
      <c r="D97" s="49" t="str">
        <f>"Объем: "&amp;Source!I35&amp;"=2/"&amp;"100"</f>
        <v>Объем: 0,02=2/100</v>
      </c>
    </row>
    <row r="98" spans="1:26" ht="14.4">
      <c r="A98" s="27"/>
      <c r="B98" s="27"/>
      <c r="C98" s="28"/>
      <c r="D98" s="25" t="s">
        <v>962</v>
      </c>
      <c r="E98" s="30"/>
      <c r="F98" s="10"/>
      <c r="G98" s="32">
        <f>Source!AO35</f>
        <v>134</v>
      </c>
      <c r="H98" s="31" t="str">
        <f>Source!DG35</f>
        <v/>
      </c>
      <c r="I98" s="33">
        <f>ROUND(Source!AF35*Source!I35, 0)</f>
        <v>3</v>
      </c>
      <c r="J98" s="31"/>
      <c r="K98" s="31">
        <f>IF(Source!BA35&lt;&gt; 0, Source!BA35, 1)</f>
        <v>20.88</v>
      </c>
      <c r="L98" s="33">
        <f>Source!S35</f>
        <v>56</v>
      </c>
      <c r="M98" s="34"/>
      <c r="R98">
        <f>I98</f>
        <v>3</v>
      </c>
    </row>
    <row r="99" spans="1:26" ht="14.4">
      <c r="A99" s="27"/>
      <c r="B99" s="27"/>
      <c r="C99" s="28"/>
      <c r="D99" s="25" t="s">
        <v>125</v>
      </c>
      <c r="E99" s="30"/>
      <c r="F99" s="10"/>
      <c r="G99" s="32">
        <f>Source!AM35</f>
        <v>2.57</v>
      </c>
      <c r="H99" s="31" t="str">
        <f>Source!DE35</f>
        <v/>
      </c>
      <c r="I99" s="33">
        <f>ROUND(Source!AD35*Source!I35, 0)</f>
        <v>0</v>
      </c>
      <c r="J99" s="31"/>
      <c r="K99" s="31">
        <f>IF(Source!BB35&lt;&gt; 0, Source!BB35, 1)</f>
        <v>10.199999999999999</v>
      </c>
      <c r="L99" s="33">
        <f>Source!Q35</f>
        <v>1</v>
      </c>
      <c r="M99" s="34"/>
    </row>
    <row r="100" spans="1:26" ht="14.4">
      <c r="A100" s="27"/>
      <c r="B100" s="27"/>
      <c r="C100" s="28"/>
      <c r="D100" s="25" t="s">
        <v>964</v>
      </c>
      <c r="E100" s="30" t="s">
        <v>965</v>
      </c>
      <c r="F100" s="10">
        <f>Source!BZ35</f>
        <v>85</v>
      </c>
      <c r="G100" s="92" t="str">
        <f>CONCATENATE(" )", Source!DL35, Source!FT35, "=", Source!FX35)</f>
        <v xml:space="preserve"> )*0,7=59,5</v>
      </c>
      <c r="H100" s="90"/>
      <c r="I100" s="33">
        <f>SUM(S96:S102)</f>
        <v>2</v>
      </c>
      <c r="J100" s="35"/>
      <c r="K100" s="25">
        <f>Source!AT35</f>
        <v>60</v>
      </c>
      <c r="L100" s="33">
        <f>SUM(T96:T102)</f>
        <v>34</v>
      </c>
      <c r="M100" s="34"/>
    </row>
    <row r="101" spans="1:26" ht="14.4">
      <c r="A101" s="27"/>
      <c r="B101" s="27"/>
      <c r="C101" s="28"/>
      <c r="D101" s="25" t="s">
        <v>966</v>
      </c>
      <c r="E101" s="30" t="s">
        <v>965</v>
      </c>
      <c r="F101" s="10">
        <f>Source!CA35</f>
        <v>65</v>
      </c>
      <c r="G101" s="92" t="str">
        <f>CONCATENATE(" )", Source!DM35, Source!FU35, "=", Source!FY35)</f>
        <v xml:space="preserve"> )*0,9=58,5</v>
      </c>
      <c r="H101" s="90"/>
      <c r="I101" s="33">
        <f>SUM(U96:U102)</f>
        <v>2</v>
      </c>
      <c r="J101" s="35"/>
      <c r="K101" s="25">
        <f>Source!AU35</f>
        <v>59</v>
      </c>
      <c r="L101" s="33">
        <f>SUM(V96:V102)</f>
        <v>33</v>
      </c>
      <c r="M101" s="34"/>
    </row>
    <row r="102" spans="1:26" ht="14.4">
      <c r="A102" s="39"/>
      <c r="B102" s="39"/>
      <c r="C102" s="40"/>
      <c r="D102" s="41" t="s">
        <v>967</v>
      </c>
      <c r="E102" s="42" t="s">
        <v>968</v>
      </c>
      <c r="F102" s="43">
        <f>Source!AQ35</f>
        <v>17.89</v>
      </c>
      <c r="G102" s="44"/>
      <c r="H102" s="45" t="str">
        <f>Source!DI35</f>
        <v/>
      </c>
      <c r="I102" s="46"/>
      <c r="J102" s="45"/>
      <c r="K102" s="45"/>
      <c r="L102" s="46"/>
      <c r="M102" s="47">
        <f>Source!U35</f>
        <v>0.35780000000000001</v>
      </c>
    </row>
    <row r="103" spans="1:26" ht="13.8">
      <c r="H103" s="93">
        <f>ROUND(Source!AC35*Source!I35, 0)+ROUND(Source!AF35*Source!I35, 0)+ROUND(Source!AD35*Source!I35, 0)+SUM(I100:I101)</f>
        <v>7</v>
      </c>
      <c r="I103" s="93"/>
      <c r="K103" s="93">
        <f>Source!O35+SUM(L100:L101)</f>
        <v>124</v>
      </c>
      <c r="L103" s="93"/>
      <c r="M103" s="38">
        <f>Source!U35</f>
        <v>0.35780000000000001</v>
      </c>
      <c r="O103" s="37">
        <f>H103</f>
        <v>7</v>
      </c>
      <c r="P103" s="37">
        <f>K103</f>
        <v>124</v>
      </c>
      <c r="Q103" s="48">
        <f>M103</f>
        <v>0.35780000000000001</v>
      </c>
      <c r="W103">
        <f>IF(Source!BI35&lt;=1,H103, 0)</f>
        <v>7</v>
      </c>
      <c r="X103">
        <f>IF(Source!BI35=2,H103, 0)</f>
        <v>0</v>
      </c>
      <c r="Y103">
        <f>IF(Source!BI35=3,H103, 0)</f>
        <v>0</v>
      </c>
      <c r="Z103">
        <f>IF(Source!BI35=4,H103, 0)</f>
        <v>0</v>
      </c>
    </row>
    <row r="104" spans="1:26" ht="28.8">
      <c r="A104" s="27">
        <v>9</v>
      </c>
      <c r="B104" s="27" t="str">
        <f>Source!E36</f>
        <v>9</v>
      </c>
      <c r="C104" s="28" t="str">
        <f>Source!F36</f>
        <v>65-4-2</v>
      </c>
      <c r="D104" s="25" t="str">
        <f>Source!G36</f>
        <v>Демонтаж унитазов и писсуаров</v>
      </c>
      <c r="E104" s="30" t="str">
        <f>Source!H36</f>
        <v>100 приборов</v>
      </c>
      <c r="F104" s="10">
        <f>Source!I36</f>
        <v>0.01</v>
      </c>
      <c r="G104" s="32">
        <f>IF(Source!AK36&lt;&gt; 0, Source!AK36,Source!AL36 + Source!AM36 + Source!AO36)</f>
        <v>518.11</v>
      </c>
      <c r="H104" s="31"/>
      <c r="I104" s="33"/>
      <c r="J104" s="31" t="str">
        <f>Source!BO36</f>
        <v>65-4-2</v>
      </c>
      <c r="K104" s="31"/>
      <c r="L104" s="33"/>
      <c r="M104" s="34"/>
      <c r="S104">
        <f>ROUND((Source!FX36/100)*((ROUND(Source!AF36*Source!I36, 0)+ROUND(Source!AE36*Source!I36, 0))), 0)</f>
        <v>3</v>
      </c>
      <c r="T104">
        <f>Source!X36</f>
        <v>56</v>
      </c>
      <c r="U104">
        <f>ROUND((Source!FY36/100)*((ROUND(Source!AF36*Source!I36, 0)+ROUND(Source!AE36*Source!I36, 0))), 0)</f>
        <v>2</v>
      </c>
      <c r="V104">
        <f>Source!Y36</f>
        <v>48</v>
      </c>
    </row>
    <row r="105" spans="1:26">
      <c r="D105" s="49" t="str">
        <f>"Объем: "&amp;Source!I36&amp;"=1/"&amp;"100"</f>
        <v>Объем: 0,01=1/100</v>
      </c>
    </row>
    <row r="106" spans="1:26" ht="14.4">
      <c r="A106" s="27"/>
      <c r="B106" s="27"/>
      <c r="C106" s="28"/>
      <c r="D106" s="25" t="s">
        <v>962</v>
      </c>
      <c r="E106" s="30"/>
      <c r="F106" s="10"/>
      <c r="G106" s="32">
        <f>Source!AO36</f>
        <v>508.8</v>
      </c>
      <c r="H106" s="31" t="str">
        <f>Source!DG36</f>
        <v/>
      </c>
      <c r="I106" s="33">
        <f>ROUND(Source!AF36*Source!I36, 0)</f>
        <v>5</v>
      </c>
      <c r="J106" s="31"/>
      <c r="K106" s="31">
        <f>IF(Source!BA36&lt;&gt; 0, Source!BA36, 1)</f>
        <v>20.88</v>
      </c>
      <c r="L106" s="33">
        <f>Source!S36</f>
        <v>106</v>
      </c>
      <c r="M106" s="34"/>
      <c r="R106">
        <f>I106</f>
        <v>5</v>
      </c>
    </row>
    <row r="107" spans="1:26" ht="14.4">
      <c r="A107" s="27"/>
      <c r="B107" s="27"/>
      <c r="C107" s="28"/>
      <c r="D107" s="25" t="s">
        <v>125</v>
      </c>
      <c r="E107" s="30"/>
      <c r="F107" s="10"/>
      <c r="G107" s="32">
        <f>Source!AM36</f>
        <v>9.31</v>
      </c>
      <c r="H107" s="31" t="str">
        <f>Source!DE36</f>
        <v/>
      </c>
      <c r="I107" s="33">
        <f>ROUND(Source!AD36*Source!I36, 0)</f>
        <v>0</v>
      </c>
      <c r="J107" s="31"/>
      <c r="K107" s="31">
        <f>IF(Source!BB36&lt;&gt; 0, Source!BB36, 1)</f>
        <v>10.210000000000001</v>
      </c>
      <c r="L107" s="33">
        <f>Source!Q36</f>
        <v>1</v>
      </c>
      <c r="M107" s="34"/>
    </row>
    <row r="108" spans="1:26" ht="14.4">
      <c r="A108" s="27"/>
      <c r="B108" s="27"/>
      <c r="C108" s="28"/>
      <c r="D108" s="25" t="s">
        <v>963</v>
      </c>
      <c r="E108" s="30"/>
      <c r="F108" s="10"/>
      <c r="G108" s="32">
        <f>Source!AN36</f>
        <v>3.51</v>
      </c>
      <c r="H108" s="31" t="str">
        <f>Source!DF36</f>
        <v/>
      </c>
      <c r="I108" s="33">
        <f>ROUND(Source!AE36*Source!I36, 0)</f>
        <v>0</v>
      </c>
      <c r="J108" s="31"/>
      <c r="K108" s="31">
        <f>IF(Source!BS36&lt;&gt; 0, Source!BS36, 1)</f>
        <v>20.88</v>
      </c>
      <c r="L108" s="33">
        <f>Source!R36</f>
        <v>1</v>
      </c>
      <c r="M108" s="34"/>
      <c r="R108">
        <f>I108</f>
        <v>0</v>
      </c>
    </row>
    <row r="109" spans="1:26" ht="14.4">
      <c r="A109" s="27"/>
      <c r="B109" s="27"/>
      <c r="C109" s="28"/>
      <c r="D109" s="25" t="s">
        <v>964</v>
      </c>
      <c r="E109" s="30" t="s">
        <v>965</v>
      </c>
      <c r="F109" s="10">
        <f>Source!BZ36</f>
        <v>74</v>
      </c>
      <c r="G109" s="92" t="str">
        <f>CONCATENATE(" )", Source!DL36, Source!FT36, "=", Source!FX36)</f>
        <v xml:space="preserve"> )*0,7=51,8</v>
      </c>
      <c r="H109" s="90"/>
      <c r="I109" s="33">
        <f>SUM(S104:S111)</f>
        <v>3</v>
      </c>
      <c r="J109" s="35"/>
      <c r="K109" s="25">
        <f>Source!AT36</f>
        <v>52</v>
      </c>
      <c r="L109" s="33">
        <f>SUM(T104:T111)</f>
        <v>56</v>
      </c>
      <c r="M109" s="34"/>
    </row>
    <row r="110" spans="1:26" ht="14.4">
      <c r="A110" s="27"/>
      <c r="B110" s="27"/>
      <c r="C110" s="28"/>
      <c r="D110" s="25" t="s">
        <v>966</v>
      </c>
      <c r="E110" s="30" t="s">
        <v>965</v>
      </c>
      <c r="F110" s="10">
        <f>Source!CA36</f>
        <v>50</v>
      </c>
      <c r="G110" s="92" t="str">
        <f>CONCATENATE(" )", Source!DM36, Source!FU36, "=", Source!FY36)</f>
        <v xml:space="preserve"> )*0,9=45</v>
      </c>
      <c r="H110" s="90"/>
      <c r="I110" s="33">
        <f>SUM(U104:U111)</f>
        <v>2</v>
      </c>
      <c r="J110" s="35"/>
      <c r="K110" s="25">
        <f>Source!AU36</f>
        <v>45</v>
      </c>
      <c r="L110" s="33">
        <f>SUM(V104:V111)</f>
        <v>48</v>
      </c>
      <c r="M110" s="34"/>
    </row>
    <row r="111" spans="1:26" ht="14.4">
      <c r="A111" s="39"/>
      <c r="B111" s="39"/>
      <c r="C111" s="40"/>
      <c r="D111" s="41" t="s">
        <v>967</v>
      </c>
      <c r="E111" s="42" t="s">
        <v>968</v>
      </c>
      <c r="F111" s="43">
        <f>Source!AQ36</f>
        <v>63.84</v>
      </c>
      <c r="G111" s="44"/>
      <c r="H111" s="45" t="str">
        <f>Source!DI36</f>
        <v/>
      </c>
      <c r="I111" s="46"/>
      <c r="J111" s="45"/>
      <c r="K111" s="45"/>
      <c r="L111" s="46"/>
      <c r="M111" s="47">
        <f>Source!U36</f>
        <v>0.63840000000000008</v>
      </c>
    </row>
    <row r="112" spans="1:26" ht="13.8">
      <c r="H112" s="93">
        <f>ROUND(Source!AC36*Source!I36, 0)+ROUND(Source!AF36*Source!I36, 0)+ROUND(Source!AD36*Source!I36, 0)+SUM(I109:I110)</f>
        <v>10</v>
      </c>
      <c r="I112" s="93"/>
      <c r="K112" s="93">
        <f>Source!O36+SUM(L109:L110)</f>
        <v>211</v>
      </c>
      <c r="L112" s="93"/>
      <c r="M112" s="38">
        <f>Source!U36</f>
        <v>0.63840000000000008</v>
      </c>
      <c r="O112" s="37">
        <f>H112</f>
        <v>10</v>
      </c>
      <c r="P112" s="37">
        <f>K112</f>
        <v>211</v>
      </c>
      <c r="Q112" s="48">
        <f>M112</f>
        <v>0.63840000000000008</v>
      </c>
      <c r="W112">
        <f>IF(Source!BI36&lt;=1,H112, 0)</f>
        <v>10</v>
      </c>
      <c r="X112">
        <f>IF(Source!BI36=2,H112, 0)</f>
        <v>0</v>
      </c>
      <c r="Y112">
        <f>IF(Source!BI36=3,H112, 0)</f>
        <v>0</v>
      </c>
      <c r="Z112">
        <f>IF(Source!BI36=4,H112, 0)</f>
        <v>0</v>
      </c>
    </row>
    <row r="113" spans="1:26" ht="28.8">
      <c r="A113" s="27">
        <v>10</v>
      </c>
      <c r="B113" s="27" t="str">
        <f>Source!E37</f>
        <v>10</v>
      </c>
      <c r="C113" s="28" t="str">
        <f>Source!F37</f>
        <v>65-4-1</v>
      </c>
      <c r="D113" s="25" t="str">
        <f>Source!G37</f>
        <v>Демонтаж умывальников и раковин</v>
      </c>
      <c r="E113" s="30" t="str">
        <f>Source!H37</f>
        <v>100 приборов</v>
      </c>
      <c r="F113" s="10">
        <f>Source!I37</f>
        <v>0.01</v>
      </c>
      <c r="G113" s="32">
        <f>IF(Source!AK37&lt;&gt; 0, Source!AK37,Source!AL37 + Source!AM37 + Source!AO37)</f>
        <v>417.2</v>
      </c>
      <c r="H113" s="31"/>
      <c r="I113" s="33"/>
      <c r="J113" s="31" t="str">
        <f>Source!BO37</f>
        <v>65-4-1</v>
      </c>
      <c r="K113" s="31"/>
      <c r="L113" s="33"/>
      <c r="M113" s="34"/>
      <c r="S113">
        <f>ROUND((Source!FX37/100)*((ROUND(Source!AF37*Source!I37, 0)+ROUND(Source!AE37*Source!I37, 0))), 0)</f>
        <v>2</v>
      </c>
      <c r="T113">
        <f>Source!X37</f>
        <v>45</v>
      </c>
      <c r="U113">
        <f>ROUND((Source!FY37/100)*((ROUND(Source!AF37*Source!I37, 0)+ROUND(Source!AE37*Source!I37, 0))), 0)</f>
        <v>2</v>
      </c>
      <c r="V113">
        <f>Source!Y37</f>
        <v>39</v>
      </c>
    </row>
    <row r="114" spans="1:26">
      <c r="D114" s="49" t="str">
        <f>"Объем: "&amp;Source!I37&amp;"=1/"&amp;"100"</f>
        <v>Объем: 0,01=1/100</v>
      </c>
    </row>
    <row r="115" spans="1:26" ht="14.4">
      <c r="A115" s="27"/>
      <c r="B115" s="27"/>
      <c r="C115" s="28"/>
      <c r="D115" s="25" t="s">
        <v>962</v>
      </c>
      <c r="E115" s="30"/>
      <c r="F115" s="10"/>
      <c r="G115" s="32">
        <f>Source!AO37</f>
        <v>408.86</v>
      </c>
      <c r="H115" s="31" t="str">
        <f>Source!DG37</f>
        <v/>
      </c>
      <c r="I115" s="33">
        <f>ROUND(Source!AF37*Source!I37, 0)</f>
        <v>4</v>
      </c>
      <c r="J115" s="31"/>
      <c r="K115" s="31">
        <f>IF(Source!BA37&lt;&gt; 0, Source!BA37, 1)</f>
        <v>20.88</v>
      </c>
      <c r="L115" s="33">
        <f>Source!S37</f>
        <v>85</v>
      </c>
      <c r="M115" s="34"/>
      <c r="R115">
        <f>I115</f>
        <v>4</v>
      </c>
    </row>
    <row r="116" spans="1:26" ht="14.4">
      <c r="A116" s="27"/>
      <c r="B116" s="27"/>
      <c r="C116" s="28"/>
      <c r="D116" s="25" t="s">
        <v>125</v>
      </c>
      <c r="E116" s="30"/>
      <c r="F116" s="10"/>
      <c r="G116" s="32">
        <f>Source!AM37</f>
        <v>8.34</v>
      </c>
      <c r="H116" s="31" t="str">
        <f>Source!DE37</f>
        <v/>
      </c>
      <c r="I116" s="33">
        <f>ROUND(Source!AD37*Source!I37, 0)</f>
        <v>0</v>
      </c>
      <c r="J116" s="31"/>
      <c r="K116" s="31">
        <f>IF(Source!BB37&lt;&gt; 0, Source!BB37, 1)</f>
        <v>10.220000000000001</v>
      </c>
      <c r="L116" s="33">
        <f>Source!Q37</f>
        <v>1</v>
      </c>
      <c r="M116" s="34"/>
    </row>
    <row r="117" spans="1:26" ht="14.4">
      <c r="A117" s="27"/>
      <c r="B117" s="27"/>
      <c r="C117" s="28"/>
      <c r="D117" s="25" t="s">
        <v>963</v>
      </c>
      <c r="E117" s="30"/>
      <c r="F117" s="10"/>
      <c r="G117" s="32">
        <f>Source!AN37</f>
        <v>3.15</v>
      </c>
      <c r="H117" s="31" t="str">
        <f>Source!DF37</f>
        <v/>
      </c>
      <c r="I117" s="33">
        <f>ROUND(Source!AE37*Source!I37, 0)</f>
        <v>0</v>
      </c>
      <c r="J117" s="31"/>
      <c r="K117" s="31">
        <f>IF(Source!BS37&lt;&gt; 0, Source!BS37, 1)</f>
        <v>20.88</v>
      </c>
      <c r="L117" s="33">
        <f>Source!R37</f>
        <v>1</v>
      </c>
      <c r="M117" s="34"/>
      <c r="R117">
        <f>I117</f>
        <v>0</v>
      </c>
    </row>
    <row r="118" spans="1:26" ht="14.4">
      <c r="A118" s="27"/>
      <c r="B118" s="27"/>
      <c r="C118" s="28"/>
      <c r="D118" s="25" t="s">
        <v>964</v>
      </c>
      <c r="E118" s="30" t="s">
        <v>965</v>
      </c>
      <c r="F118" s="10">
        <f>Source!BZ37</f>
        <v>74</v>
      </c>
      <c r="G118" s="92" t="str">
        <f>CONCATENATE(" )", Source!DL37, Source!FT37, "=", Source!FX37)</f>
        <v xml:space="preserve"> )*0,7=51,8</v>
      </c>
      <c r="H118" s="90"/>
      <c r="I118" s="33">
        <f>SUM(S113:S120)</f>
        <v>2</v>
      </c>
      <c r="J118" s="35"/>
      <c r="K118" s="25">
        <f>Source!AT37</f>
        <v>52</v>
      </c>
      <c r="L118" s="33">
        <f>SUM(T113:T120)</f>
        <v>45</v>
      </c>
      <c r="M118" s="34"/>
    </row>
    <row r="119" spans="1:26" ht="14.4">
      <c r="A119" s="27"/>
      <c r="B119" s="27"/>
      <c r="C119" s="28"/>
      <c r="D119" s="25" t="s">
        <v>966</v>
      </c>
      <c r="E119" s="30" t="s">
        <v>965</v>
      </c>
      <c r="F119" s="10">
        <f>Source!CA37</f>
        <v>50</v>
      </c>
      <c r="G119" s="92" t="str">
        <f>CONCATENATE(" )", Source!DM37, Source!FU37, "=", Source!FY37)</f>
        <v xml:space="preserve"> )*0,9=45</v>
      </c>
      <c r="H119" s="90"/>
      <c r="I119" s="33">
        <f>SUM(U113:U120)</f>
        <v>2</v>
      </c>
      <c r="J119" s="35"/>
      <c r="K119" s="25">
        <f>Source!AU37</f>
        <v>45</v>
      </c>
      <c r="L119" s="33">
        <f>SUM(V113:V120)</f>
        <v>39</v>
      </c>
      <c r="M119" s="34"/>
    </row>
    <row r="120" spans="1:26" ht="14.4">
      <c r="A120" s="39"/>
      <c r="B120" s="39"/>
      <c r="C120" s="40"/>
      <c r="D120" s="41" t="s">
        <v>967</v>
      </c>
      <c r="E120" s="42" t="s">
        <v>968</v>
      </c>
      <c r="F120" s="43">
        <f>Source!AQ37</f>
        <v>51.3</v>
      </c>
      <c r="G120" s="44"/>
      <c r="H120" s="45" t="str">
        <f>Source!DI37</f>
        <v/>
      </c>
      <c r="I120" s="46"/>
      <c r="J120" s="45"/>
      <c r="K120" s="45"/>
      <c r="L120" s="46"/>
      <c r="M120" s="47">
        <f>Source!U37</f>
        <v>0.51300000000000001</v>
      </c>
    </row>
    <row r="121" spans="1:26" ht="13.8">
      <c r="H121" s="93">
        <f>ROUND(Source!AC37*Source!I37, 0)+ROUND(Source!AF37*Source!I37, 0)+ROUND(Source!AD37*Source!I37, 0)+SUM(I118:I119)</f>
        <v>8</v>
      </c>
      <c r="I121" s="93"/>
      <c r="K121" s="93">
        <f>Source!O37+SUM(L118:L119)</f>
        <v>170</v>
      </c>
      <c r="L121" s="93"/>
      <c r="M121" s="38">
        <f>Source!U37</f>
        <v>0.51300000000000001</v>
      </c>
      <c r="O121" s="37">
        <f>H121</f>
        <v>8</v>
      </c>
      <c r="P121" s="37">
        <f>K121</f>
        <v>170</v>
      </c>
      <c r="Q121" s="48">
        <f>M121</f>
        <v>0.51300000000000001</v>
      </c>
      <c r="W121">
        <f>IF(Source!BI37&lt;=1,H121, 0)</f>
        <v>8</v>
      </c>
      <c r="X121">
        <f>IF(Source!BI37=2,H121, 0)</f>
        <v>0</v>
      </c>
      <c r="Y121">
        <f>IF(Source!BI37=3,H121, 0)</f>
        <v>0</v>
      </c>
      <c r="Z121">
        <f>IF(Source!BI37=4,H121, 0)</f>
        <v>0</v>
      </c>
    </row>
    <row r="122" spans="1:26" ht="43.2">
      <c r="A122" s="27">
        <v>11</v>
      </c>
      <c r="B122" s="27" t="str">
        <f>Source!E38</f>
        <v>11</v>
      </c>
      <c r="C122" s="28" t="str">
        <f>Source!F38</f>
        <v>46-03-010-2</v>
      </c>
      <c r="D122" s="25" t="str">
        <f>Source!G38</f>
        <v>Пробивка в бетонных стенах и полах толщиной 100 мм отверстий площадью до 100 см2</v>
      </c>
      <c r="E122" s="30" t="str">
        <f>Source!H38</f>
        <v>100 отверстий</v>
      </c>
      <c r="F122" s="10">
        <f>Source!I38</f>
        <v>0.01</v>
      </c>
      <c r="G122" s="32">
        <f>IF(Source!AK38&lt;&gt; 0, Source!AK38,Source!AL38 + Source!AM38 + Source!AO38)</f>
        <v>879.18</v>
      </c>
      <c r="H122" s="31"/>
      <c r="I122" s="33"/>
      <c r="J122" s="31" t="str">
        <f>Source!BO38</f>
        <v>46-03-010-2</v>
      </c>
      <c r="K122" s="31"/>
      <c r="L122" s="33"/>
      <c r="M122" s="34"/>
      <c r="S122">
        <f>ROUND((Source!FX38/100)*((ROUND(Source!AF38*Source!I38, 0)+ROUND(Source!AE38*Source!I38, 0))), 0)</f>
        <v>6</v>
      </c>
      <c r="T122">
        <f>Source!X38</f>
        <v>110</v>
      </c>
      <c r="U122">
        <f>ROUND((Source!FY38/100)*((ROUND(Source!AF38*Source!I38, 0)+ROUND(Source!AE38*Source!I38, 0))), 0)</f>
        <v>4</v>
      </c>
      <c r="V122">
        <f>Source!Y38</f>
        <v>86</v>
      </c>
    </row>
    <row r="123" spans="1:26">
      <c r="D123" s="49" t="str">
        <f>"Объем: "&amp;Source!I38&amp;"=1/"&amp;"100"</f>
        <v>Объем: 0,01=1/100</v>
      </c>
    </row>
    <row r="124" spans="1:26" ht="14.4">
      <c r="A124" s="27"/>
      <c r="B124" s="27"/>
      <c r="C124" s="28"/>
      <c r="D124" s="25" t="s">
        <v>962</v>
      </c>
      <c r="E124" s="30"/>
      <c r="F124" s="10"/>
      <c r="G124" s="32">
        <f>Source!AO38</f>
        <v>314.97000000000003</v>
      </c>
      <c r="H124" s="31" t="str">
        <f>Source!DG38</f>
        <v>)*1,1)*1,75</v>
      </c>
      <c r="I124" s="33">
        <f>ROUND(Source!AF38*Source!I38, 0)</f>
        <v>6</v>
      </c>
      <c r="J124" s="31"/>
      <c r="K124" s="31">
        <f>IF(Source!BA38&lt;&gt; 0, Source!BA38, 1)</f>
        <v>20.88</v>
      </c>
      <c r="L124" s="33">
        <f>Source!S38</f>
        <v>127</v>
      </c>
      <c r="M124" s="34"/>
      <c r="R124">
        <f>I124</f>
        <v>6</v>
      </c>
    </row>
    <row r="125" spans="1:26" ht="14.4">
      <c r="A125" s="27"/>
      <c r="B125" s="27"/>
      <c r="C125" s="28"/>
      <c r="D125" s="25" t="s">
        <v>125</v>
      </c>
      <c r="E125" s="30"/>
      <c r="F125" s="10"/>
      <c r="G125" s="32">
        <f>Source!AM38</f>
        <v>564.21</v>
      </c>
      <c r="H125" s="31" t="str">
        <f>Source!DE38</f>
        <v>)*1,1)*1,75</v>
      </c>
      <c r="I125" s="33">
        <f>ROUND(Source!AD38*Source!I38, 0)</f>
        <v>11</v>
      </c>
      <c r="J125" s="31"/>
      <c r="K125" s="31">
        <f>IF(Source!BB38&lt;&gt; 0, Source!BB38, 1)</f>
        <v>9.6</v>
      </c>
      <c r="L125" s="33">
        <f>Source!Q38</f>
        <v>104</v>
      </c>
      <c r="M125" s="34"/>
    </row>
    <row r="126" spans="1:26" ht="14.4">
      <c r="A126" s="27"/>
      <c r="B126" s="27"/>
      <c r="C126" s="28"/>
      <c r="D126" s="25" t="s">
        <v>963</v>
      </c>
      <c r="E126" s="30"/>
      <c r="F126" s="10"/>
      <c r="G126" s="32">
        <f>Source!AN38</f>
        <v>80.91</v>
      </c>
      <c r="H126" s="31" t="str">
        <f>Source!DF38</f>
        <v>)*1,1)*1,75</v>
      </c>
      <c r="I126" s="33">
        <f>ROUND(Source!AE38*Source!I38, 0)</f>
        <v>2</v>
      </c>
      <c r="J126" s="31"/>
      <c r="K126" s="31">
        <f>IF(Source!BS38&lt;&gt; 0, Source!BS38, 1)</f>
        <v>20.88</v>
      </c>
      <c r="L126" s="33">
        <f>Source!R38</f>
        <v>33</v>
      </c>
      <c r="M126" s="34"/>
      <c r="R126">
        <f>I126</f>
        <v>2</v>
      </c>
    </row>
    <row r="127" spans="1:26" ht="14.4">
      <c r="A127" s="27"/>
      <c r="B127" s="27"/>
      <c r="C127" s="28"/>
      <c r="D127" s="25" t="s">
        <v>964</v>
      </c>
      <c r="E127" s="30" t="s">
        <v>965</v>
      </c>
      <c r="F127" s="10">
        <f>Source!BZ38</f>
        <v>110</v>
      </c>
      <c r="G127" s="92" t="str">
        <f>CONCATENATE(" )", Source!DL38, Source!FT38, "=", Source!FX38)</f>
        <v xml:space="preserve"> )*0,9*0,7=69,3</v>
      </c>
      <c r="H127" s="90"/>
      <c r="I127" s="33">
        <f>SUM(S122:S129)</f>
        <v>6</v>
      </c>
      <c r="J127" s="35"/>
      <c r="K127" s="25">
        <f>Source!AT38</f>
        <v>69</v>
      </c>
      <c r="L127" s="33">
        <f>SUM(T122:T129)</f>
        <v>110</v>
      </c>
      <c r="M127" s="34"/>
    </row>
    <row r="128" spans="1:26" ht="14.4">
      <c r="A128" s="27"/>
      <c r="B128" s="27"/>
      <c r="C128" s="28"/>
      <c r="D128" s="25" t="s">
        <v>966</v>
      </c>
      <c r="E128" s="30" t="s">
        <v>965</v>
      </c>
      <c r="F128" s="10">
        <f>Source!CA38</f>
        <v>70</v>
      </c>
      <c r="G128" s="92" t="str">
        <f>CONCATENATE(" )", Source!DM38, Source!FU38, "=", Source!FY38)</f>
        <v xml:space="preserve"> )*0,85*0,9=53,55</v>
      </c>
      <c r="H128" s="90"/>
      <c r="I128" s="33">
        <f>SUM(U122:U129)</f>
        <v>4</v>
      </c>
      <c r="J128" s="35"/>
      <c r="K128" s="25">
        <f>Source!AU38</f>
        <v>54</v>
      </c>
      <c r="L128" s="33">
        <f>SUM(V122:V129)</f>
        <v>86</v>
      </c>
      <c r="M128" s="34"/>
    </row>
    <row r="129" spans="1:26" ht="14.4">
      <c r="A129" s="39"/>
      <c r="B129" s="39"/>
      <c r="C129" s="40"/>
      <c r="D129" s="41" t="s">
        <v>967</v>
      </c>
      <c r="E129" s="42" t="s">
        <v>968</v>
      </c>
      <c r="F129" s="43">
        <f>Source!AQ38</f>
        <v>35.43</v>
      </c>
      <c r="G129" s="44"/>
      <c r="H129" s="45" t="str">
        <f>Source!DI38</f>
        <v>)*1,1)*1,75</v>
      </c>
      <c r="I129" s="46"/>
      <c r="J129" s="45"/>
      <c r="K129" s="45"/>
      <c r="L129" s="46"/>
      <c r="M129" s="47">
        <f>Source!U38</f>
        <v>0.68202750000000012</v>
      </c>
    </row>
    <row r="130" spans="1:26" ht="13.8">
      <c r="H130" s="93">
        <f>ROUND(Source!AC38*Source!I38, 0)+ROUND(Source!AF38*Source!I38, 0)+ROUND(Source!AD38*Source!I38, 0)+SUM(I127:I128)</f>
        <v>27</v>
      </c>
      <c r="I130" s="93"/>
      <c r="K130" s="93">
        <f>Source!O38+SUM(L127:L128)</f>
        <v>427</v>
      </c>
      <c r="L130" s="93"/>
      <c r="M130" s="38">
        <f>Source!U38</f>
        <v>0.68202750000000012</v>
      </c>
      <c r="O130" s="37">
        <f>H130</f>
        <v>27</v>
      </c>
      <c r="P130" s="37">
        <f>K130</f>
        <v>427</v>
      </c>
      <c r="Q130" s="48">
        <f>M130</f>
        <v>0.68202750000000012</v>
      </c>
      <c r="W130">
        <f>IF(Source!BI38&lt;=1,H130, 0)</f>
        <v>27</v>
      </c>
      <c r="X130">
        <f>IF(Source!BI38=2,H130, 0)</f>
        <v>0</v>
      </c>
      <c r="Y130">
        <f>IF(Source!BI38=3,H130, 0)</f>
        <v>0</v>
      </c>
      <c r="Z130">
        <f>IF(Source!BI38=4,H130, 0)</f>
        <v>0</v>
      </c>
    </row>
    <row r="131" spans="1:26" ht="115.2">
      <c r="A131" s="27">
        <v>12</v>
      </c>
      <c r="B131" s="27" t="str">
        <f>Source!E39</f>
        <v>12</v>
      </c>
      <c r="C131" s="28" t="str">
        <f>Source!F39</f>
        <v>65-8-2</v>
      </c>
      <c r="D131" s="25" t="str">
        <f>Source!G39</f>
        <v>Смена трубопроводов из полиэтиленовых канализационных труб диаметром до 100 мм</v>
      </c>
      <c r="E131" s="30" t="str">
        <f>Source!H39</f>
        <v>100 М ТРУБОПРОВОДА С ФАСОННЫМИ ЧАСТЯМИ</v>
      </c>
      <c r="F131" s="10">
        <f>Source!I39</f>
        <v>0.04</v>
      </c>
      <c r="G131" s="32">
        <f>IF(Source!AK39&lt;&gt; 0, Source!AK39,Source!AL39 + Source!AM39 + Source!AO39)</f>
        <v>12627.43</v>
      </c>
      <c r="H131" s="31"/>
      <c r="I131" s="33"/>
      <c r="J131" s="31" t="str">
        <f>Source!BO39</f>
        <v>65-8-2</v>
      </c>
      <c r="K131" s="31"/>
      <c r="L131" s="33"/>
      <c r="M131" s="34"/>
      <c r="S131">
        <f>ROUND((Source!FX39/100)*((ROUND(Source!AF39*Source!I39, 0)+ROUND(Source!AE39*Source!I39, 0))), 0)</f>
        <v>17</v>
      </c>
      <c r="T131">
        <f>Source!X39</f>
        <v>346</v>
      </c>
      <c r="U131">
        <f>ROUND((Source!FY39/100)*((ROUND(Source!AF39*Source!I39, 0)+ROUND(Source!AE39*Source!I39, 0))), 0)</f>
        <v>12</v>
      </c>
      <c r="V131">
        <f>Source!Y39</f>
        <v>260</v>
      </c>
    </row>
    <row r="132" spans="1:26">
      <c r="D132" s="49" t="str">
        <f>"Объем: "&amp;Source!I39&amp;"=4/"&amp;"100"</f>
        <v>Объем: 0,04=4/100</v>
      </c>
    </row>
    <row r="133" spans="1:26" ht="14.4">
      <c r="A133" s="27"/>
      <c r="B133" s="27"/>
      <c r="C133" s="28"/>
      <c r="D133" s="25" t="s">
        <v>962</v>
      </c>
      <c r="E133" s="30"/>
      <c r="F133" s="10"/>
      <c r="G133" s="32">
        <f>Source!AO39</f>
        <v>573.80999999999995</v>
      </c>
      <c r="H133" s="31" t="str">
        <f>Source!DG39</f>
        <v/>
      </c>
      <c r="I133" s="33">
        <f>ROUND(Source!AF39*Source!I39, 0)</f>
        <v>23</v>
      </c>
      <c r="J133" s="31"/>
      <c r="K133" s="31">
        <f>IF(Source!BA39&lt;&gt; 0, Source!BA39, 1)</f>
        <v>20.88</v>
      </c>
      <c r="L133" s="33">
        <f>Source!S39</f>
        <v>479</v>
      </c>
      <c r="M133" s="34"/>
      <c r="R133">
        <f>I133</f>
        <v>23</v>
      </c>
    </row>
    <row r="134" spans="1:26" ht="14.4">
      <c r="A134" s="27"/>
      <c r="B134" s="27"/>
      <c r="C134" s="28"/>
      <c r="D134" s="25" t="s">
        <v>125</v>
      </c>
      <c r="E134" s="30"/>
      <c r="F134" s="10"/>
      <c r="G134" s="32">
        <f>Source!AM39</f>
        <v>24.77</v>
      </c>
      <c r="H134" s="31" t="str">
        <f>Source!DE39</f>
        <v/>
      </c>
      <c r="I134" s="33">
        <f>ROUND(Source!AD39*Source!I39, 0)</f>
        <v>1</v>
      </c>
      <c r="J134" s="31"/>
      <c r="K134" s="31">
        <f>IF(Source!BB39&lt;&gt; 0, Source!BB39, 1)</f>
        <v>9.4600000000000009</v>
      </c>
      <c r="L134" s="33">
        <f>Source!Q39</f>
        <v>9</v>
      </c>
      <c r="M134" s="34"/>
    </row>
    <row r="135" spans="1:26" ht="14.4">
      <c r="A135" s="27"/>
      <c r="B135" s="27"/>
      <c r="C135" s="28"/>
      <c r="D135" s="25" t="s">
        <v>963</v>
      </c>
      <c r="E135" s="30"/>
      <c r="F135" s="10"/>
      <c r="G135" s="32">
        <f>Source!AN39</f>
        <v>2.42</v>
      </c>
      <c r="H135" s="31" t="str">
        <f>Source!DF39</f>
        <v/>
      </c>
      <c r="I135" s="33">
        <f>ROUND(Source!AE39*Source!I39, 0)</f>
        <v>0</v>
      </c>
      <c r="J135" s="31"/>
      <c r="K135" s="31">
        <f>IF(Source!BS39&lt;&gt; 0, Source!BS39, 1)</f>
        <v>20.88</v>
      </c>
      <c r="L135" s="33">
        <f>Source!R39</f>
        <v>2</v>
      </c>
      <c r="M135" s="34"/>
      <c r="R135">
        <f>I135</f>
        <v>0</v>
      </c>
    </row>
    <row r="136" spans="1:26" ht="14.4">
      <c r="A136" s="27"/>
      <c r="B136" s="27"/>
      <c r="C136" s="28"/>
      <c r="D136" s="25" t="s">
        <v>969</v>
      </c>
      <c r="E136" s="30"/>
      <c r="F136" s="10"/>
      <c r="G136" s="32">
        <f>Source!AL39</f>
        <v>12028.85</v>
      </c>
      <c r="H136" s="31" t="str">
        <f>Source!DD39</f>
        <v/>
      </c>
      <c r="I136" s="33">
        <f>ROUND(Source!AC39*Source!I39, 0)</f>
        <v>481</v>
      </c>
      <c r="J136" s="31"/>
      <c r="K136" s="31">
        <f>IF(Source!BC39&lt;&gt; 0, Source!BC39, 1)</f>
        <v>3.2</v>
      </c>
      <c r="L136" s="33">
        <f>Source!P39</f>
        <v>1540</v>
      </c>
      <c r="M136" s="34"/>
    </row>
    <row r="137" spans="1:26" ht="14.4">
      <c r="A137" s="27"/>
      <c r="B137" s="27"/>
      <c r="C137" s="28"/>
      <c r="D137" s="25" t="s">
        <v>964</v>
      </c>
      <c r="E137" s="30" t="s">
        <v>965</v>
      </c>
      <c r="F137" s="10">
        <f>Source!BZ39</f>
        <v>103</v>
      </c>
      <c r="G137" s="92" t="str">
        <f>CONCATENATE(" )", Source!DL39, Source!FT39, "=", Source!FX39)</f>
        <v xml:space="preserve"> )*0,7=72,1</v>
      </c>
      <c r="H137" s="90"/>
      <c r="I137" s="33">
        <f>SUM(S131:S139)</f>
        <v>17</v>
      </c>
      <c r="J137" s="35"/>
      <c r="K137" s="25">
        <f>Source!AT39</f>
        <v>72</v>
      </c>
      <c r="L137" s="33">
        <f>SUM(T131:T139)</f>
        <v>346</v>
      </c>
      <c r="M137" s="34"/>
    </row>
    <row r="138" spans="1:26" ht="14.4">
      <c r="A138" s="27"/>
      <c r="B138" s="27"/>
      <c r="C138" s="28"/>
      <c r="D138" s="25" t="s">
        <v>966</v>
      </c>
      <c r="E138" s="30" t="s">
        <v>965</v>
      </c>
      <c r="F138" s="10">
        <f>Source!CA39</f>
        <v>60</v>
      </c>
      <c r="G138" s="92" t="str">
        <f>CONCATENATE(" )", Source!DM39, Source!FU39, "=", Source!FY39)</f>
        <v xml:space="preserve"> )*0,9=54</v>
      </c>
      <c r="H138" s="90"/>
      <c r="I138" s="33">
        <f>SUM(U131:U139)</f>
        <v>12</v>
      </c>
      <c r="J138" s="35"/>
      <c r="K138" s="25">
        <f>Source!AU39</f>
        <v>54</v>
      </c>
      <c r="L138" s="33">
        <f>SUM(V131:V139)</f>
        <v>260</v>
      </c>
      <c r="M138" s="34"/>
    </row>
    <row r="139" spans="1:26" ht="14.4">
      <c r="A139" s="39"/>
      <c r="B139" s="39"/>
      <c r="C139" s="40"/>
      <c r="D139" s="41" t="s">
        <v>967</v>
      </c>
      <c r="E139" s="42" t="s">
        <v>968</v>
      </c>
      <c r="F139" s="43">
        <f>Source!AQ39</f>
        <v>61.9</v>
      </c>
      <c r="G139" s="44"/>
      <c r="H139" s="45" t="str">
        <f>Source!DI39</f>
        <v/>
      </c>
      <c r="I139" s="46"/>
      <c r="J139" s="45"/>
      <c r="K139" s="45"/>
      <c r="L139" s="46"/>
      <c r="M139" s="47">
        <f>Source!U39</f>
        <v>2.476</v>
      </c>
    </row>
    <row r="140" spans="1:26" ht="13.8">
      <c r="H140" s="93">
        <f>ROUND(Source!AC39*Source!I39, 0)+ROUND(Source!AF39*Source!I39, 0)+ROUND(Source!AD39*Source!I39, 0)+SUM(I137:I138)</f>
        <v>534</v>
      </c>
      <c r="I140" s="93"/>
      <c r="K140" s="93">
        <f>Source!O39+SUM(L137:L138)</f>
        <v>2634</v>
      </c>
      <c r="L140" s="93"/>
      <c r="M140" s="38">
        <f>Source!U39</f>
        <v>2.476</v>
      </c>
      <c r="O140" s="37">
        <f>H140</f>
        <v>534</v>
      </c>
      <c r="P140" s="37">
        <f>K140</f>
        <v>2634</v>
      </c>
      <c r="Q140" s="48">
        <f>M140</f>
        <v>2.476</v>
      </c>
      <c r="W140">
        <f>IF(Source!BI39&lt;=1,H140, 0)</f>
        <v>534</v>
      </c>
      <c r="X140">
        <f>IF(Source!BI39=2,H140, 0)</f>
        <v>0</v>
      </c>
      <c r="Y140">
        <f>IF(Source!BI39=3,H140, 0)</f>
        <v>0</v>
      </c>
      <c r="Z140">
        <f>IF(Source!BI39=4,H140, 0)</f>
        <v>0</v>
      </c>
    </row>
    <row r="141" spans="1:26" ht="69.599999999999994">
      <c r="A141" s="27">
        <v>13</v>
      </c>
      <c r="B141" s="27" t="str">
        <f>Source!E40</f>
        <v>13</v>
      </c>
      <c r="C141" s="28" t="str">
        <f>Source!F40</f>
        <v>16-04-002-3</v>
      </c>
      <c r="D141" s="25" t="str">
        <f>Source!G40</f>
        <v>Прокладка трубопроводов водоснабжения из напорных полиэтиленовых труб низкого давления среднего типа наружным диаметром 32 мм (ДЕМОНТАЖ)</v>
      </c>
      <c r="E141" s="30" t="str">
        <f>Source!H40</f>
        <v>100 м трубопровода</v>
      </c>
      <c r="F141" s="10">
        <f>Source!I40</f>
        <v>0.06</v>
      </c>
      <c r="G141" s="32">
        <f>IF(Source!AK40&lt;&gt; 0, Source!AK40,Source!AL40 + Source!AM40 + Source!AO40)</f>
        <v>2375.66</v>
      </c>
      <c r="H141" s="31"/>
      <c r="I141" s="33"/>
      <c r="J141" s="31" t="str">
        <f>Source!BO40</f>
        <v>16-04-002-3</v>
      </c>
      <c r="K141" s="31"/>
      <c r="L141" s="33"/>
      <c r="M141" s="34"/>
      <c r="S141">
        <f>ROUND((Source!FX40/100)*((ROUND(Source!AF40*Source!I40, 0)+ROUND(Source!AE40*Source!I40, 0))), 0)</f>
        <v>23</v>
      </c>
      <c r="T141">
        <f>Source!X40</f>
        <v>482</v>
      </c>
      <c r="U141">
        <f>ROUND((Source!FY40/100)*((ROUND(Source!AF40*Source!I40, 0)+ROUND(Source!AE40*Source!I40, 0))), 0)</f>
        <v>18</v>
      </c>
      <c r="V141">
        <f>Source!Y40</f>
        <v>375</v>
      </c>
    </row>
    <row r="142" spans="1:26">
      <c r="D142" s="49" t="str">
        <f>"Объем: "&amp;Source!I40&amp;"=6/"&amp;"100"</f>
        <v>Объем: 0,06=6/100</v>
      </c>
    </row>
    <row r="143" spans="1:26" ht="14.4">
      <c r="A143" s="27"/>
      <c r="B143" s="27"/>
      <c r="C143" s="28"/>
      <c r="D143" s="25" t="s">
        <v>962</v>
      </c>
      <c r="E143" s="30"/>
      <c r="F143" s="10"/>
      <c r="G143" s="32">
        <f>Source!AO40</f>
        <v>1129.0899999999999</v>
      </c>
      <c r="H143" s="31" t="str">
        <f>Source!DG40</f>
        <v>)*0,4</v>
      </c>
      <c r="I143" s="33">
        <f>ROUND(Source!AF40*Source!I40, 0)</f>
        <v>27</v>
      </c>
      <c r="J143" s="31"/>
      <c r="K143" s="31">
        <f>IF(Source!BA40&lt;&gt; 0, Source!BA40, 1)</f>
        <v>20.88</v>
      </c>
      <c r="L143" s="33">
        <f>Source!S40</f>
        <v>566</v>
      </c>
      <c r="M143" s="34"/>
      <c r="R143">
        <f>I143</f>
        <v>27</v>
      </c>
    </row>
    <row r="144" spans="1:26" ht="14.4">
      <c r="A144" s="27"/>
      <c r="B144" s="27"/>
      <c r="C144" s="28"/>
      <c r="D144" s="25" t="s">
        <v>125</v>
      </c>
      <c r="E144" s="30"/>
      <c r="F144" s="10"/>
      <c r="G144" s="32">
        <f>Source!AM40</f>
        <v>501.39</v>
      </c>
      <c r="H144" s="31" t="str">
        <f>Source!DE40</f>
        <v>)*0,4</v>
      </c>
      <c r="I144" s="33">
        <f>ROUND(Source!AD40*Source!I40, 0)</f>
        <v>12</v>
      </c>
      <c r="J144" s="31"/>
      <c r="K144" s="31">
        <f>IF(Source!BB40&lt;&gt; 0, Source!BB40, 1)</f>
        <v>7.82</v>
      </c>
      <c r="L144" s="33">
        <f>Source!Q40</f>
        <v>94</v>
      </c>
      <c r="M144" s="34"/>
    </row>
    <row r="145" spans="1:33" ht="14.4">
      <c r="A145" s="27"/>
      <c r="B145" s="27"/>
      <c r="C145" s="28"/>
      <c r="D145" s="25" t="s">
        <v>963</v>
      </c>
      <c r="E145" s="30"/>
      <c r="F145" s="10"/>
      <c r="G145" s="32">
        <f>Source!AN40</f>
        <v>57.11</v>
      </c>
      <c r="H145" s="31" t="str">
        <f>Source!DF40</f>
        <v>)*0,4</v>
      </c>
      <c r="I145" s="33">
        <f>ROUND(Source!AE40*Source!I40, 0)</f>
        <v>1</v>
      </c>
      <c r="J145" s="31"/>
      <c r="K145" s="31">
        <f>IF(Source!BS40&lt;&gt; 0, Source!BS40, 1)</f>
        <v>20.88</v>
      </c>
      <c r="L145" s="33">
        <f>Source!R40</f>
        <v>29</v>
      </c>
      <c r="M145" s="34"/>
      <c r="R145">
        <f>I145</f>
        <v>1</v>
      </c>
    </row>
    <row r="146" spans="1:33" ht="14.4">
      <c r="A146" s="27"/>
      <c r="B146" s="27"/>
      <c r="C146" s="28"/>
      <c r="D146" s="25" t="s">
        <v>964</v>
      </c>
      <c r="E146" s="30" t="s">
        <v>965</v>
      </c>
      <c r="F146" s="10">
        <f>Source!BZ40</f>
        <v>128</v>
      </c>
      <c r="G146" s="92" t="str">
        <f>CONCATENATE(" )", Source!DL40, Source!FT40, "=", Source!FX40)</f>
        <v xml:space="preserve"> )*0,9*0,7=80,64</v>
      </c>
      <c r="H146" s="90"/>
      <c r="I146" s="33">
        <f>SUM(S141:S148)</f>
        <v>23</v>
      </c>
      <c r="J146" s="35"/>
      <c r="K146" s="25">
        <f>Source!AT40</f>
        <v>81</v>
      </c>
      <c r="L146" s="33">
        <f>SUM(T141:T148)</f>
        <v>482</v>
      </c>
      <c r="M146" s="34"/>
    </row>
    <row r="147" spans="1:33" ht="14.4">
      <c r="A147" s="27"/>
      <c r="B147" s="27"/>
      <c r="C147" s="28"/>
      <c r="D147" s="25" t="s">
        <v>966</v>
      </c>
      <c r="E147" s="30" t="s">
        <v>965</v>
      </c>
      <c r="F147" s="10">
        <f>Source!CA40</f>
        <v>83</v>
      </c>
      <c r="G147" s="92" t="str">
        <f>CONCATENATE(" )", Source!DM40, Source!FU40, "=", Source!FY40)</f>
        <v xml:space="preserve"> )*0,85*0,9=63,495</v>
      </c>
      <c r="H147" s="90"/>
      <c r="I147" s="33">
        <f>SUM(U141:U148)</f>
        <v>18</v>
      </c>
      <c r="J147" s="35"/>
      <c r="K147" s="25">
        <f>Source!AU40</f>
        <v>63</v>
      </c>
      <c r="L147" s="33">
        <f>SUM(V141:V148)</f>
        <v>375</v>
      </c>
      <c r="M147" s="34"/>
    </row>
    <row r="148" spans="1:33" ht="14.4">
      <c r="A148" s="39"/>
      <c r="B148" s="39"/>
      <c r="C148" s="40"/>
      <c r="D148" s="41" t="s">
        <v>967</v>
      </c>
      <c r="E148" s="42" t="s">
        <v>968</v>
      </c>
      <c r="F148" s="43">
        <f>Source!AQ40</f>
        <v>121.8</v>
      </c>
      <c r="G148" s="44"/>
      <c r="H148" s="45" t="str">
        <f>Source!DI40</f>
        <v>)*0,4</v>
      </c>
      <c r="I148" s="46"/>
      <c r="J148" s="45"/>
      <c r="K148" s="45"/>
      <c r="L148" s="46"/>
      <c r="M148" s="47">
        <f>Source!U40</f>
        <v>2.9232</v>
      </c>
    </row>
    <row r="149" spans="1:33" ht="13.8">
      <c r="H149" s="93">
        <f>ROUND(Source!AC40*Source!I40, 0)+ROUND(Source!AF40*Source!I40, 0)+ROUND(Source!AD40*Source!I40, 0)+SUM(I146:I147)</f>
        <v>80</v>
      </c>
      <c r="I149" s="93"/>
      <c r="K149" s="93">
        <f>Source!O40+SUM(L146:L147)</f>
        <v>1517</v>
      </c>
      <c r="L149" s="93"/>
      <c r="M149" s="38">
        <f>Source!U40</f>
        <v>2.9232</v>
      </c>
      <c r="O149" s="37">
        <f>H149</f>
        <v>80</v>
      </c>
      <c r="P149" s="37">
        <f>K149</f>
        <v>1517</v>
      </c>
      <c r="Q149" s="48">
        <f>M149</f>
        <v>2.9232</v>
      </c>
      <c r="W149">
        <f>IF(Source!BI40&lt;=1,H149, 0)</f>
        <v>80</v>
      </c>
      <c r="X149">
        <f>IF(Source!BI40=2,H149, 0)</f>
        <v>0</v>
      </c>
      <c r="Y149">
        <f>IF(Source!BI40=3,H149, 0)</f>
        <v>0</v>
      </c>
      <c r="Z149">
        <f>IF(Source!BI40=4,H149, 0)</f>
        <v>0</v>
      </c>
    </row>
    <row r="151" spans="1:33" ht="13.8">
      <c r="A151" s="96" t="str">
        <f>CONCATENATE("Итого по разделу: ", Source!G42)</f>
        <v>Итого по разделу: Демонтажные работы</v>
      </c>
      <c r="B151" s="96"/>
      <c r="C151" s="96"/>
      <c r="D151" s="96"/>
      <c r="E151" s="96"/>
      <c r="F151" s="96"/>
      <c r="G151" s="96"/>
      <c r="H151" s="93">
        <f>SUM(O36:O150)</f>
        <v>1325</v>
      </c>
      <c r="I151" s="84"/>
      <c r="J151" s="50"/>
      <c r="K151" s="93">
        <f>SUM(P36:P150)</f>
        <v>16800</v>
      </c>
      <c r="L151" s="84"/>
      <c r="M151" s="38">
        <f>SUM(Q36:Q150)</f>
        <v>36.502629500000005</v>
      </c>
      <c r="AG151" s="51" t="str">
        <f>CONCATENATE("Итого по разделу: ", Source!G42)</f>
        <v>Итого по разделу: Демонтажные работы</v>
      </c>
    </row>
    <row r="153" spans="1:33" ht="13.8">
      <c r="D153" s="25" t="str">
        <f>Source!H70</f>
        <v>Итого</v>
      </c>
      <c r="K153" s="97">
        <f>Source!F70</f>
        <v>16800</v>
      </c>
      <c r="L153" s="97"/>
    </row>
    <row r="156" spans="1:33" ht="16.8">
      <c r="A156" s="95" t="str">
        <f>CONCATENATE("Раздел: ", Source!G72)</f>
        <v>Раздел: Отделочные работы</v>
      </c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AE156" s="26" t="str">
        <f>CONCATENATE("Раздел: ", Source!G72)</f>
        <v>Раздел: Отделочные работы</v>
      </c>
    </row>
    <row r="157" spans="1:33" ht="69.599999999999994">
      <c r="A157" s="27">
        <v>14</v>
      </c>
      <c r="B157" s="27" t="str">
        <f>Source!E76</f>
        <v>14</v>
      </c>
      <c r="C157" s="28" t="str">
        <f>Source!F76</f>
        <v>16-04-002-3</v>
      </c>
      <c r="D157" s="25" t="str">
        <f>Source!G76</f>
        <v>Прокладка трубопроводов водоснабжения из напорных полиэтиленовых труб низкого давления среднего типа наружным диаметром 32 мм</v>
      </c>
      <c r="E157" s="30" t="str">
        <f>Source!H76</f>
        <v>100 м трубопровода</v>
      </c>
      <c r="F157" s="10">
        <f>Source!I76</f>
        <v>0.08</v>
      </c>
      <c r="G157" s="32">
        <f>IF(Source!AK76&lt;&gt; 0, Source!AK76,Source!AL76 + Source!AM76 + Source!AO76)</f>
        <v>2375.66</v>
      </c>
      <c r="H157" s="31"/>
      <c r="I157" s="33"/>
      <c r="J157" s="31" t="str">
        <f>Source!BO76</f>
        <v>16-04-002-3</v>
      </c>
      <c r="K157" s="31"/>
      <c r="L157" s="33"/>
      <c r="M157" s="34"/>
      <c r="S157">
        <f>ROUND((Source!FX76/100)*((ROUND(Source!AF76*Source!I76, 0)+ROUND(Source!AE76*Source!I76, 0))), 0)</f>
        <v>89</v>
      </c>
      <c r="T157">
        <f>Source!X76</f>
        <v>1853</v>
      </c>
      <c r="U157">
        <f>ROUND((Source!FY76/100)*((ROUND(Source!AF76*Source!I76, 0)+ROUND(Source!AE76*Source!I76, 0))), 0)</f>
        <v>70</v>
      </c>
      <c r="V157">
        <f>Source!Y76</f>
        <v>1441</v>
      </c>
    </row>
    <row r="158" spans="1:33">
      <c r="D158" s="49" t="str">
        <f>"Объем: "&amp;Source!I76&amp;"=8/"&amp;"100"</f>
        <v>Объем: 0,08=8/100</v>
      </c>
    </row>
    <row r="159" spans="1:33" ht="14.4">
      <c r="A159" s="27"/>
      <c r="B159" s="27"/>
      <c r="C159" s="28"/>
      <c r="D159" s="25" t="s">
        <v>962</v>
      </c>
      <c r="E159" s="30"/>
      <c r="F159" s="10"/>
      <c r="G159" s="32">
        <f>Source!AO76</f>
        <v>1129.0899999999999</v>
      </c>
      <c r="H159" s="31" t="str">
        <f>Source!DG76</f>
        <v>)*1,15</v>
      </c>
      <c r="I159" s="33">
        <f>ROUND(Source!AF76*Source!I76, 0)</f>
        <v>104</v>
      </c>
      <c r="J159" s="31"/>
      <c r="K159" s="31">
        <f>IF(Source!BA76&lt;&gt; 0, Source!BA76, 1)</f>
        <v>20.88</v>
      </c>
      <c r="L159" s="33">
        <f>Source!S76</f>
        <v>2169</v>
      </c>
      <c r="M159" s="34"/>
      <c r="R159">
        <f>I159</f>
        <v>104</v>
      </c>
    </row>
    <row r="160" spans="1:33" ht="14.4">
      <c r="A160" s="27"/>
      <c r="B160" s="27"/>
      <c r="C160" s="28"/>
      <c r="D160" s="25" t="s">
        <v>125</v>
      </c>
      <c r="E160" s="30"/>
      <c r="F160" s="10"/>
      <c r="G160" s="32">
        <f>Source!AM76</f>
        <v>501.39</v>
      </c>
      <c r="H160" s="31" t="str">
        <f>Source!DE76</f>
        <v>)*1,25</v>
      </c>
      <c r="I160" s="33">
        <f>ROUND(Source!AD76*Source!I76, 0)</f>
        <v>50</v>
      </c>
      <c r="J160" s="31"/>
      <c r="K160" s="31">
        <f>IF(Source!BB76&lt;&gt; 0, Source!BB76, 1)</f>
        <v>7.82</v>
      </c>
      <c r="L160" s="33">
        <f>Source!Q76</f>
        <v>392</v>
      </c>
      <c r="M160" s="34"/>
    </row>
    <row r="161" spans="1:26" ht="14.4">
      <c r="A161" s="27"/>
      <c r="B161" s="27"/>
      <c r="C161" s="28"/>
      <c r="D161" s="25" t="s">
        <v>963</v>
      </c>
      <c r="E161" s="30"/>
      <c r="F161" s="10"/>
      <c r="G161" s="32">
        <f>Source!AN76</f>
        <v>57.11</v>
      </c>
      <c r="H161" s="31" t="str">
        <f>Source!DF76</f>
        <v>)*1,25</v>
      </c>
      <c r="I161" s="33">
        <f>ROUND(Source!AE76*Source!I76, 0)</f>
        <v>6</v>
      </c>
      <c r="J161" s="31"/>
      <c r="K161" s="31">
        <f>IF(Source!BS76&lt;&gt; 0, Source!BS76, 1)</f>
        <v>20.88</v>
      </c>
      <c r="L161" s="33">
        <f>Source!R76</f>
        <v>119</v>
      </c>
      <c r="M161" s="34"/>
      <c r="R161">
        <f>I161</f>
        <v>6</v>
      </c>
    </row>
    <row r="162" spans="1:26" ht="14.4">
      <c r="A162" s="27"/>
      <c r="B162" s="27"/>
      <c r="C162" s="28"/>
      <c r="D162" s="25" t="s">
        <v>969</v>
      </c>
      <c r="E162" s="30"/>
      <c r="F162" s="10"/>
      <c r="G162" s="32">
        <f>Source!AL76</f>
        <v>745.18</v>
      </c>
      <c r="H162" s="31" t="str">
        <f>Source!DD76</f>
        <v/>
      </c>
      <c r="I162" s="33">
        <f>ROUND(Source!AC76*Source!I76, 0)</f>
        <v>60</v>
      </c>
      <c r="J162" s="31"/>
      <c r="K162" s="31">
        <f>IF(Source!BC76&lt;&gt; 0, Source!BC76, 1)</f>
        <v>3.54</v>
      </c>
      <c r="L162" s="33">
        <f>Source!P76</f>
        <v>211</v>
      </c>
      <c r="M162" s="34"/>
    </row>
    <row r="163" spans="1:26" ht="14.4">
      <c r="A163" s="27"/>
      <c r="B163" s="27"/>
      <c r="C163" s="28"/>
      <c r="D163" s="25" t="s">
        <v>964</v>
      </c>
      <c r="E163" s="30" t="s">
        <v>965</v>
      </c>
      <c r="F163" s="10">
        <f>Source!BZ76</f>
        <v>128</v>
      </c>
      <c r="G163" s="92" t="str">
        <f>CONCATENATE(" )", Source!DL76, Source!FT76, "=", Source!FX76)</f>
        <v xml:space="preserve"> )*0,9*0,7=80,64</v>
      </c>
      <c r="H163" s="90"/>
      <c r="I163" s="33">
        <f>SUM(S157:S165)</f>
        <v>89</v>
      </c>
      <c r="J163" s="35"/>
      <c r="K163" s="25">
        <f>Source!AT76</f>
        <v>81</v>
      </c>
      <c r="L163" s="33">
        <f>SUM(T157:T165)</f>
        <v>1853</v>
      </c>
      <c r="M163" s="34"/>
    </row>
    <row r="164" spans="1:26" ht="14.4">
      <c r="A164" s="27"/>
      <c r="B164" s="27"/>
      <c r="C164" s="28"/>
      <c r="D164" s="25" t="s">
        <v>966</v>
      </c>
      <c r="E164" s="30" t="s">
        <v>965</v>
      </c>
      <c r="F164" s="10">
        <f>Source!CA76</f>
        <v>83</v>
      </c>
      <c r="G164" s="92" t="str">
        <f>CONCATENATE(" )", Source!DM76, Source!FU76, "=", Source!FY76)</f>
        <v xml:space="preserve"> )*0,85*0,9=63,495</v>
      </c>
      <c r="H164" s="90"/>
      <c r="I164" s="33">
        <f>SUM(U157:U165)</f>
        <v>70</v>
      </c>
      <c r="J164" s="35"/>
      <c r="K164" s="25">
        <f>Source!AU76</f>
        <v>63</v>
      </c>
      <c r="L164" s="33">
        <f>SUM(V157:V165)</f>
        <v>1441</v>
      </c>
      <c r="M164" s="34"/>
    </row>
    <row r="165" spans="1:26" ht="14.4">
      <c r="A165" s="39"/>
      <c r="B165" s="39"/>
      <c r="C165" s="40"/>
      <c r="D165" s="41" t="s">
        <v>967</v>
      </c>
      <c r="E165" s="42" t="s">
        <v>968</v>
      </c>
      <c r="F165" s="43">
        <f>Source!AQ76</f>
        <v>121.8</v>
      </c>
      <c r="G165" s="44"/>
      <c r="H165" s="45" t="str">
        <f>Source!DI76</f>
        <v>)*1,15</v>
      </c>
      <c r="I165" s="46"/>
      <c r="J165" s="45"/>
      <c r="K165" s="45"/>
      <c r="L165" s="46"/>
      <c r="M165" s="47">
        <f>Source!U76</f>
        <v>11.2056</v>
      </c>
    </row>
    <row r="166" spans="1:26" ht="13.8">
      <c r="H166" s="93">
        <f>ROUND(Source!AC76*Source!I76, 0)+ROUND(Source!AF76*Source!I76, 0)+ROUND(Source!AD76*Source!I76, 0)+SUM(I163:I164)</f>
        <v>373</v>
      </c>
      <c r="I166" s="93"/>
      <c r="K166" s="93">
        <f>Source!O76+SUM(L163:L164)</f>
        <v>6066</v>
      </c>
      <c r="L166" s="93"/>
      <c r="M166" s="38">
        <f>Source!U76</f>
        <v>11.2056</v>
      </c>
      <c r="O166" s="37">
        <f>H166</f>
        <v>373</v>
      </c>
      <c r="P166" s="37">
        <f>K166</f>
        <v>6066</v>
      </c>
      <c r="Q166" s="48">
        <f>M166</f>
        <v>11.2056</v>
      </c>
      <c r="W166">
        <f>IF(Source!BI76&lt;=1,H166, 0)</f>
        <v>373</v>
      </c>
      <c r="X166">
        <f>IF(Source!BI76=2,H166, 0)</f>
        <v>0</v>
      </c>
      <c r="Y166">
        <f>IF(Source!BI76=3,H166, 0)</f>
        <v>0</v>
      </c>
      <c r="Z166">
        <f>IF(Source!BI76=4,H166, 0)</f>
        <v>0</v>
      </c>
    </row>
    <row r="167" spans="1:26" ht="115.2">
      <c r="A167" s="27">
        <v>15</v>
      </c>
      <c r="B167" s="27" t="str">
        <f>Source!E77</f>
        <v>15</v>
      </c>
      <c r="C167" s="28" t="str">
        <f>Source!F77</f>
        <v>65-8-2</v>
      </c>
      <c r="D167" s="25" t="str">
        <f>Source!G77</f>
        <v>Смена трубопроводов из полиэтиленовых канализационных труб диаметром до 100 мм</v>
      </c>
      <c r="E167" s="30" t="str">
        <f>Source!H77</f>
        <v>100 М ТРУБОПРОВОДА С ФАСОННЫМИ ЧАСТЯМИ</v>
      </c>
      <c r="F167" s="10">
        <f>Source!I77</f>
        <v>0.04</v>
      </c>
      <c r="G167" s="32">
        <f>IF(Source!AK77&lt;&gt; 0, Source!AK77,Source!AL77 + Source!AM77 + Source!AO77)</f>
        <v>12627.43</v>
      </c>
      <c r="H167" s="31"/>
      <c r="I167" s="33"/>
      <c r="J167" s="31" t="str">
        <f>Source!BO77</f>
        <v>65-8-2</v>
      </c>
      <c r="K167" s="31"/>
      <c r="L167" s="33"/>
      <c r="M167" s="34"/>
      <c r="S167">
        <f>ROUND((Source!FX77/100)*((ROUND(Source!AF77*Source!I77, 0)+ROUND(Source!AE77*Source!I77, 0))), 0)</f>
        <v>17</v>
      </c>
      <c r="T167">
        <f>Source!X77</f>
        <v>346</v>
      </c>
      <c r="U167">
        <f>ROUND((Source!FY77/100)*((ROUND(Source!AF77*Source!I77, 0)+ROUND(Source!AE77*Source!I77, 0))), 0)</f>
        <v>12</v>
      </c>
      <c r="V167">
        <f>Source!Y77</f>
        <v>260</v>
      </c>
    </row>
    <row r="168" spans="1:26">
      <c r="D168" s="49" t="str">
        <f>"Объем: "&amp;Source!I77&amp;"=4/"&amp;"100"</f>
        <v>Объем: 0,04=4/100</v>
      </c>
    </row>
    <row r="169" spans="1:26" ht="14.4">
      <c r="A169" s="27"/>
      <c r="B169" s="27"/>
      <c r="C169" s="28"/>
      <c r="D169" s="25" t="s">
        <v>962</v>
      </c>
      <c r="E169" s="30"/>
      <c r="F169" s="10"/>
      <c r="G169" s="32">
        <f>Source!AO77</f>
        <v>573.80999999999995</v>
      </c>
      <c r="H169" s="31" t="str">
        <f>Source!DG77</f>
        <v/>
      </c>
      <c r="I169" s="33">
        <f>ROUND(Source!AF77*Source!I77, 0)</f>
        <v>23</v>
      </c>
      <c r="J169" s="31"/>
      <c r="K169" s="31">
        <f>IF(Source!BA77&lt;&gt; 0, Source!BA77, 1)</f>
        <v>20.88</v>
      </c>
      <c r="L169" s="33">
        <f>Source!S77</f>
        <v>479</v>
      </c>
      <c r="M169" s="34"/>
      <c r="R169">
        <f>I169</f>
        <v>23</v>
      </c>
    </row>
    <row r="170" spans="1:26" ht="14.4">
      <c r="A170" s="27"/>
      <c r="B170" s="27"/>
      <c r="C170" s="28"/>
      <c r="D170" s="25" t="s">
        <v>125</v>
      </c>
      <c r="E170" s="30"/>
      <c r="F170" s="10"/>
      <c r="G170" s="32">
        <f>Source!AM77</f>
        <v>24.77</v>
      </c>
      <c r="H170" s="31" t="str">
        <f>Source!DE77</f>
        <v/>
      </c>
      <c r="I170" s="33">
        <f>ROUND(Source!AD77*Source!I77, 0)</f>
        <v>1</v>
      </c>
      <c r="J170" s="31"/>
      <c r="K170" s="31">
        <f>IF(Source!BB77&lt;&gt; 0, Source!BB77, 1)</f>
        <v>9.4600000000000009</v>
      </c>
      <c r="L170" s="33">
        <f>Source!Q77</f>
        <v>9</v>
      </c>
      <c r="M170" s="34"/>
    </row>
    <row r="171" spans="1:26" ht="14.4">
      <c r="A171" s="27"/>
      <c r="B171" s="27"/>
      <c r="C171" s="28"/>
      <c r="D171" s="25" t="s">
        <v>963</v>
      </c>
      <c r="E171" s="30"/>
      <c r="F171" s="10"/>
      <c r="G171" s="32">
        <f>Source!AN77</f>
        <v>2.42</v>
      </c>
      <c r="H171" s="31" t="str">
        <f>Source!DF77</f>
        <v/>
      </c>
      <c r="I171" s="33">
        <f>ROUND(Source!AE77*Source!I77, 0)</f>
        <v>0</v>
      </c>
      <c r="J171" s="31"/>
      <c r="K171" s="31">
        <f>IF(Source!BS77&lt;&gt; 0, Source!BS77, 1)</f>
        <v>20.88</v>
      </c>
      <c r="L171" s="33">
        <f>Source!R77</f>
        <v>2</v>
      </c>
      <c r="M171" s="34"/>
      <c r="R171">
        <f>I171</f>
        <v>0</v>
      </c>
    </row>
    <row r="172" spans="1:26" ht="14.4">
      <c r="A172" s="27"/>
      <c r="B172" s="27"/>
      <c r="C172" s="28"/>
      <c r="D172" s="25" t="s">
        <v>969</v>
      </c>
      <c r="E172" s="30"/>
      <c r="F172" s="10"/>
      <c r="G172" s="32">
        <f>Source!AL77</f>
        <v>12028.85</v>
      </c>
      <c r="H172" s="31" t="str">
        <f>Source!DD77</f>
        <v/>
      </c>
      <c r="I172" s="33">
        <f>ROUND(Source!AC77*Source!I77, 0)</f>
        <v>481</v>
      </c>
      <c r="J172" s="31"/>
      <c r="K172" s="31">
        <f>IF(Source!BC77&lt;&gt; 0, Source!BC77, 1)</f>
        <v>3.2</v>
      </c>
      <c r="L172" s="33">
        <f>Source!P77</f>
        <v>1540</v>
      </c>
      <c r="M172" s="34"/>
    </row>
    <row r="173" spans="1:26" ht="14.4">
      <c r="A173" s="27"/>
      <c r="B173" s="27"/>
      <c r="C173" s="28"/>
      <c r="D173" s="25" t="s">
        <v>964</v>
      </c>
      <c r="E173" s="30" t="s">
        <v>965</v>
      </c>
      <c r="F173" s="10">
        <f>Source!BZ77</f>
        <v>103</v>
      </c>
      <c r="G173" s="92" t="str">
        <f>CONCATENATE(" )", Source!DL77, Source!FT77, "=", Source!FX77)</f>
        <v xml:space="preserve"> )*0,7=72,1</v>
      </c>
      <c r="H173" s="90"/>
      <c r="I173" s="33">
        <f>SUM(S167:S175)</f>
        <v>17</v>
      </c>
      <c r="J173" s="35"/>
      <c r="K173" s="25">
        <f>Source!AT77</f>
        <v>72</v>
      </c>
      <c r="L173" s="33">
        <f>SUM(T167:T175)</f>
        <v>346</v>
      </c>
      <c r="M173" s="34"/>
    </row>
    <row r="174" spans="1:26" ht="14.4">
      <c r="A174" s="27"/>
      <c r="B174" s="27"/>
      <c r="C174" s="28"/>
      <c r="D174" s="25" t="s">
        <v>966</v>
      </c>
      <c r="E174" s="30" t="s">
        <v>965</v>
      </c>
      <c r="F174" s="10">
        <f>Source!CA77</f>
        <v>60</v>
      </c>
      <c r="G174" s="92" t="str">
        <f>CONCATENATE(" )", Source!DM77, Source!FU77, "=", Source!FY77)</f>
        <v xml:space="preserve"> )*0,9=54</v>
      </c>
      <c r="H174" s="90"/>
      <c r="I174" s="33">
        <f>SUM(U167:U175)</f>
        <v>12</v>
      </c>
      <c r="J174" s="35"/>
      <c r="K174" s="25">
        <f>Source!AU77</f>
        <v>54</v>
      </c>
      <c r="L174" s="33">
        <f>SUM(V167:V175)</f>
        <v>260</v>
      </c>
      <c r="M174" s="34"/>
    </row>
    <row r="175" spans="1:26" ht="14.4">
      <c r="A175" s="39"/>
      <c r="B175" s="39"/>
      <c r="C175" s="40"/>
      <c r="D175" s="41" t="s">
        <v>967</v>
      </c>
      <c r="E175" s="42" t="s">
        <v>968</v>
      </c>
      <c r="F175" s="43">
        <f>Source!AQ77</f>
        <v>61.9</v>
      </c>
      <c r="G175" s="44"/>
      <c r="H175" s="45" t="str">
        <f>Source!DI77</f>
        <v/>
      </c>
      <c r="I175" s="46"/>
      <c r="J175" s="45"/>
      <c r="K175" s="45"/>
      <c r="L175" s="46"/>
      <c r="M175" s="47">
        <f>Source!U77</f>
        <v>2.476</v>
      </c>
    </row>
    <row r="176" spans="1:26" ht="13.8">
      <c r="H176" s="93">
        <f>ROUND(Source!AC77*Source!I77, 0)+ROUND(Source!AF77*Source!I77, 0)+ROUND(Source!AD77*Source!I77, 0)+SUM(I173:I174)</f>
        <v>534</v>
      </c>
      <c r="I176" s="93"/>
      <c r="K176" s="93">
        <f>Source!O77+SUM(L173:L174)</f>
        <v>2634</v>
      </c>
      <c r="L176" s="93"/>
      <c r="M176" s="38">
        <f>Source!U77</f>
        <v>2.476</v>
      </c>
      <c r="O176" s="37">
        <f>H176</f>
        <v>534</v>
      </c>
      <c r="P176" s="37">
        <f>K176</f>
        <v>2634</v>
      </c>
      <c r="Q176" s="48">
        <f>M176</f>
        <v>2.476</v>
      </c>
      <c r="W176">
        <f>IF(Source!BI77&lt;=1,H176, 0)</f>
        <v>534</v>
      </c>
      <c r="X176">
        <f>IF(Source!BI77=2,H176, 0)</f>
        <v>0</v>
      </c>
      <c r="Y176">
        <f>IF(Source!BI77=3,H176, 0)</f>
        <v>0</v>
      </c>
      <c r="Z176">
        <f>IF(Source!BI77=4,H176, 0)</f>
        <v>0</v>
      </c>
    </row>
    <row r="177" spans="1:26" ht="43.2">
      <c r="A177" s="27">
        <v>16</v>
      </c>
      <c r="B177" s="27" t="str">
        <f>Source!E78</f>
        <v>16</v>
      </c>
      <c r="C177" s="28" t="str">
        <f>Source!F78</f>
        <v>15-04-006-3</v>
      </c>
      <c r="D177" s="25" t="str">
        <f>Source!G78</f>
        <v>Покрытие поверхностей грунтовкой глубокого проникновения за 1 раз стен</v>
      </c>
      <c r="E177" s="30" t="str">
        <f>Source!H78</f>
        <v>100 м2 покрытия</v>
      </c>
      <c r="F177" s="10">
        <f>Source!I78</f>
        <v>0.21</v>
      </c>
      <c r="G177" s="32">
        <f>IF(Source!AK78&lt;&gt; 0, Source!AK78,Source!AL78 + Source!AM78 + Source!AO78)</f>
        <v>60.3</v>
      </c>
      <c r="H177" s="31"/>
      <c r="I177" s="33"/>
      <c r="J177" s="31" t="str">
        <f>Source!BO78</f>
        <v>15-04-006-3</v>
      </c>
      <c r="K177" s="31"/>
      <c r="L177" s="33"/>
      <c r="M177" s="34"/>
      <c r="S177">
        <f>ROUND((Source!FX78/100)*((ROUND(Source!AF78*Source!I78, 0)+ROUND(Source!AE78*Source!I78, 0))), 0)</f>
        <v>9</v>
      </c>
      <c r="T177">
        <f>Source!X78</f>
        <v>197</v>
      </c>
      <c r="U177">
        <f>ROUND((Source!FY78/100)*((ROUND(Source!AF78*Source!I78, 0)+ROUND(Source!AE78*Source!I78, 0))), 0)</f>
        <v>6</v>
      </c>
      <c r="V177">
        <f>Source!Y78</f>
        <v>125</v>
      </c>
    </row>
    <row r="178" spans="1:26">
      <c r="D178" s="49" t="str">
        <f>"Объем: "&amp;Source!I78&amp;"=21/"&amp;"100"</f>
        <v>Объем: 0,21=21/100</v>
      </c>
    </row>
    <row r="179" spans="1:26" ht="14.4">
      <c r="A179" s="27"/>
      <c r="B179" s="27"/>
      <c r="C179" s="28"/>
      <c r="D179" s="25" t="s">
        <v>962</v>
      </c>
      <c r="E179" s="30"/>
      <c r="F179" s="10"/>
      <c r="G179" s="32">
        <f>Source!AO78</f>
        <v>58.88</v>
      </c>
      <c r="H179" s="31" t="str">
        <f>Source!DG78</f>
        <v>)*1,15</v>
      </c>
      <c r="I179" s="33">
        <f>ROUND(Source!AF78*Source!I78, 0)</f>
        <v>14</v>
      </c>
      <c r="J179" s="31"/>
      <c r="K179" s="31">
        <f>IF(Source!BA78&lt;&gt; 0, Source!BA78, 1)</f>
        <v>20.88</v>
      </c>
      <c r="L179" s="33">
        <f>Source!S78</f>
        <v>297</v>
      </c>
      <c r="M179" s="34"/>
      <c r="R179">
        <f>I179</f>
        <v>14</v>
      </c>
    </row>
    <row r="180" spans="1:26" ht="14.4">
      <c r="A180" s="27"/>
      <c r="B180" s="27"/>
      <c r="C180" s="28"/>
      <c r="D180" s="25" t="s">
        <v>125</v>
      </c>
      <c r="E180" s="30"/>
      <c r="F180" s="10"/>
      <c r="G180" s="32">
        <f>Source!AM78</f>
        <v>1.24</v>
      </c>
      <c r="H180" s="31" t="str">
        <f>Source!DE78</f>
        <v>)*1,25</v>
      </c>
      <c r="I180" s="33">
        <f>ROUND(Source!AD78*Source!I78, 0)</f>
        <v>0</v>
      </c>
      <c r="J180" s="31"/>
      <c r="K180" s="31">
        <f>IF(Source!BB78&lt;&gt; 0, Source!BB78, 1)</f>
        <v>9.4499999999999993</v>
      </c>
      <c r="L180" s="33">
        <f>Source!Q78</f>
        <v>3</v>
      </c>
      <c r="M180" s="34"/>
    </row>
    <row r="181" spans="1:26" ht="14.4">
      <c r="A181" s="27"/>
      <c r="B181" s="27"/>
      <c r="C181" s="28"/>
      <c r="D181" s="25" t="s">
        <v>963</v>
      </c>
      <c r="E181" s="30"/>
      <c r="F181" s="10"/>
      <c r="G181" s="32">
        <f>Source!AN78</f>
        <v>0.12</v>
      </c>
      <c r="H181" s="31" t="str">
        <f>Source!DF78</f>
        <v>)*1,25</v>
      </c>
      <c r="I181" s="33">
        <f>ROUND(Source!AE78*Source!I78, 0)</f>
        <v>0</v>
      </c>
      <c r="J181" s="31"/>
      <c r="K181" s="31">
        <f>IF(Source!BS78&lt;&gt; 0, Source!BS78, 1)</f>
        <v>20.88</v>
      </c>
      <c r="L181" s="33">
        <f>Source!R78</f>
        <v>1</v>
      </c>
      <c r="M181" s="34"/>
      <c r="R181">
        <f>I181</f>
        <v>0</v>
      </c>
    </row>
    <row r="182" spans="1:26" ht="14.4">
      <c r="A182" s="27"/>
      <c r="B182" s="27"/>
      <c r="C182" s="28"/>
      <c r="D182" s="25" t="s">
        <v>969</v>
      </c>
      <c r="E182" s="30"/>
      <c r="F182" s="10"/>
      <c r="G182" s="32">
        <f>Source!AL78</f>
        <v>0.18</v>
      </c>
      <c r="H182" s="31" t="str">
        <f>Source!DD78</f>
        <v/>
      </c>
      <c r="I182" s="33">
        <f>ROUND(Source!AC78*Source!I78, 0)</f>
        <v>0</v>
      </c>
      <c r="J182" s="31"/>
      <c r="K182" s="31">
        <f>IF(Source!BC78&lt;&gt; 0, Source!BC78, 1)</f>
        <v>14.56</v>
      </c>
      <c r="L182" s="33">
        <f>Source!P78</f>
        <v>1</v>
      </c>
      <c r="M182" s="34"/>
    </row>
    <row r="183" spans="1:26" ht="14.4">
      <c r="A183" s="27"/>
      <c r="B183" s="27"/>
      <c r="C183" s="28"/>
      <c r="D183" s="25" t="s">
        <v>964</v>
      </c>
      <c r="E183" s="30" t="s">
        <v>965</v>
      </c>
      <c r="F183" s="10">
        <f>Source!BZ78</f>
        <v>105</v>
      </c>
      <c r="G183" s="92" t="str">
        <f>CONCATENATE(" )", Source!DL78, Source!FT78, "=", Source!FX78)</f>
        <v xml:space="preserve"> )*0,9*0,7=66,15</v>
      </c>
      <c r="H183" s="90"/>
      <c r="I183" s="33">
        <f>SUM(S177:S185)</f>
        <v>9</v>
      </c>
      <c r="J183" s="35"/>
      <c r="K183" s="25">
        <f>Source!AT78</f>
        <v>66</v>
      </c>
      <c r="L183" s="33">
        <f>SUM(T177:T185)</f>
        <v>197</v>
      </c>
      <c r="M183" s="34"/>
    </row>
    <row r="184" spans="1:26" ht="14.4">
      <c r="A184" s="27"/>
      <c r="B184" s="27"/>
      <c r="C184" s="28"/>
      <c r="D184" s="25" t="s">
        <v>966</v>
      </c>
      <c r="E184" s="30" t="s">
        <v>965</v>
      </c>
      <c r="F184" s="10">
        <f>Source!CA78</f>
        <v>55</v>
      </c>
      <c r="G184" s="92" t="str">
        <f>CONCATENATE(" )", Source!DM78, Source!FU78, "=", Source!FY78)</f>
        <v xml:space="preserve"> )*0,85*0,9=42,075</v>
      </c>
      <c r="H184" s="90"/>
      <c r="I184" s="33">
        <f>SUM(U177:U185)</f>
        <v>6</v>
      </c>
      <c r="J184" s="35"/>
      <c r="K184" s="25">
        <f>Source!AU78</f>
        <v>42</v>
      </c>
      <c r="L184" s="33">
        <f>SUM(V177:V185)</f>
        <v>125</v>
      </c>
      <c r="M184" s="34"/>
    </row>
    <row r="185" spans="1:26" ht="14.4">
      <c r="A185" s="39"/>
      <c r="B185" s="39"/>
      <c r="C185" s="40"/>
      <c r="D185" s="41" t="s">
        <v>967</v>
      </c>
      <c r="E185" s="42" t="s">
        <v>968</v>
      </c>
      <c r="F185" s="43">
        <f>Source!AQ78</f>
        <v>6.55</v>
      </c>
      <c r="G185" s="44"/>
      <c r="H185" s="45" t="str">
        <f>Source!DI78</f>
        <v>)*1,15</v>
      </c>
      <c r="I185" s="46"/>
      <c r="J185" s="45"/>
      <c r="K185" s="45"/>
      <c r="L185" s="46"/>
      <c r="M185" s="47">
        <f>Source!U78</f>
        <v>1.5818249999999996</v>
      </c>
    </row>
    <row r="186" spans="1:26" ht="13.8">
      <c r="H186" s="93">
        <f>ROUND(Source!AC78*Source!I78, 0)+ROUND(Source!AF78*Source!I78, 0)+ROUND(Source!AD78*Source!I78, 0)+SUM(I183:I184)</f>
        <v>29</v>
      </c>
      <c r="I186" s="93"/>
      <c r="K186" s="93">
        <f>Source!O78+SUM(L183:L184)</f>
        <v>623</v>
      </c>
      <c r="L186" s="93"/>
      <c r="M186" s="38">
        <f>Source!U78</f>
        <v>1.5818249999999996</v>
      </c>
      <c r="O186" s="37">
        <f>H186</f>
        <v>29</v>
      </c>
      <c r="P186" s="37">
        <f>K186</f>
        <v>623</v>
      </c>
      <c r="Q186" s="48">
        <f>M186</f>
        <v>1.5818249999999996</v>
      </c>
      <c r="W186">
        <f>IF(Source!BI78&lt;=1,H186, 0)</f>
        <v>29</v>
      </c>
      <c r="X186">
        <f>IF(Source!BI78=2,H186, 0)</f>
        <v>0</v>
      </c>
      <c r="Y186">
        <f>IF(Source!BI78=3,H186, 0)</f>
        <v>0</v>
      </c>
      <c r="Z186">
        <f>IF(Source!BI78=4,H186, 0)</f>
        <v>0</v>
      </c>
    </row>
    <row r="187" spans="1:26" ht="28.2">
      <c r="A187" s="27">
        <v>17</v>
      </c>
      <c r="B187" s="27" t="str">
        <f>Source!E79</f>
        <v>17</v>
      </c>
      <c r="C187" s="28" t="str">
        <f>Source!F79</f>
        <v>101-6968</v>
      </c>
      <c r="D187" s="25" t="str">
        <f>Source!G79</f>
        <v>Состав грунтовочный ЛАЭС "Грунтовка глубокого проникновения"</v>
      </c>
      <c r="E187" s="30" t="str">
        <f>Source!H79</f>
        <v>кг</v>
      </c>
      <c r="F187" s="10">
        <f>Source!I79</f>
        <v>2.73</v>
      </c>
      <c r="G187" s="32">
        <f>IF(Source!AK79&lt;&gt; 0, Source!AK79,Source!AL79 + Source!AM79 + Source!AO79)</f>
        <v>22.1</v>
      </c>
      <c r="H187" s="31"/>
      <c r="I187" s="33"/>
      <c r="J187" s="31" t="str">
        <f>Source!BO79</f>
        <v>101-6968</v>
      </c>
      <c r="K187" s="31"/>
      <c r="L187" s="33"/>
      <c r="M187" s="34"/>
      <c r="S187">
        <f>ROUND((Source!FX79/100)*((ROUND(Source!AF79*Source!I79, 0)+ROUND(Source!AE79*Source!I79, 0))), 0)</f>
        <v>0</v>
      </c>
      <c r="T187">
        <f>Source!X79</f>
        <v>0</v>
      </c>
      <c r="U187">
        <f>ROUND((Source!FY79/100)*((ROUND(Source!AF79*Source!I79, 0)+ROUND(Source!AE79*Source!I79, 0))), 0)</f>
        <v>0</v>
      </c>
      <c r="V187">
        <f>Source!Y79</f>
        <v>0</v>
      </c>
    </row>
    <row r="188" spans="1:26" ht="14.4">
      <c r="A188" s="39"/>
      <c r="B188" s="39"/>
      <c r="C188" s="40"/>
      <c r="D188" s="41" t="s">
        <v>969</v>
      </c>
      <c r="E188" s="42"/>
      <c r="F188" s="43"/>
      <c r="G188" s="44">
        <f>Source!AL79</f>
        <v>22.1</v>
      </c>
      <c r="H188" s="45" t="str">
        <f>Source!DD79</f>
        <v/>
      </c>
      <c r="I188" s="46">
        <f>ROUND(Source!AC79*Source!I79, 0)</f>
        <v>60</v>
      </c>
      <c r="J188" s="45"/>
      <c r="K188" s="45">
        <f>IF(Source!BC79&lt;&gt; 0, Source!BC79, 1)</f>
        <v>4.21</v>
      </c>
      <c r="L188" s="46">
        <f>Source!P79</f>
        <v>254</v>
      </c>
      <c r="M188" s="52"/>
    </row>
    <row r="189" spans="1:26" ht="13.8">
      <c r="H189" s="93">
        <f>ROUND(Source!AC79*Source!I79, 0)+ROUND(Source!AF79*Source!I79, 0)+ROUND(Source!AD79*Source!I79, 0)</f>
        <v>60</v>
      </c>
      <c r="I189" s="93"/>
      <c r="K189" s="93">
        <f>Source!O79</f>
        <v>254</v>
      </c>
      <c r="L189" s="93"/>
      <c r="M189" s="38">
        <f>Source!U79</f>
        <v>0</v>
      </c>
      <c r="O189" s="37">
        <f>H189</f>
        <v>60</v>
      </c>
      <c r="P189" s="37">
        <f>K189</f>
        <v>254</v>
      </c>
      <c r="Q189" s="48">
        <f>M189</f>
        <v>0</v>
      </c>
      <c r="W189">
        <f>IF(Source!BI79&lt;=1,H189, 0)</f>
        <v>60</v>
      </c>
      <c r="X189">
        <f>IF(Source!BI79=2,H189, 0)</f>
        <v>0</v>
      </c>
      <c r="Y189">
        <f>IF(Source!BI79=3,H189, 0)</f>
        <v>0</v>
      </c>
      <c r="Z189">
        <f>IF(Source!BI79=4,H189, 0)</f>
        <v>0</v>
      </c>
    </row>
    <row r="190" spans="1:26" ht="86.4">
      <c r="A190" s="27">
        <v>18</v>
      </c>
      <c r="B190" s="27" t="str">
        <f>Source!E80</f>
        <v>18</v>
      </c>
      <c r="C190" s="28" t="str">
        <f>Source!F80</f>
        <v>15-02-016-1</v>
      </c>
      <c r="D190" s="25" t="str">
        <f>Source!G80</f>
        <v>Штукатурка поверхностей внутри здания цементно-известковым или цементным раствором по камню и бетону простая стен</v>
      </c>
      <c r="E190" s="30" t="str">
        <f>Source!H80</f>
        <v>100 м2 оштукатуриваемой поверхности</v>
      </c>
      <c r="F190" s="10">
        <f>Source!I80</f>
        <v>0.21</v>
      </c>
      <c r="G190" s="32">
        <f>IF(Source!AK80&lt;&gt; 0, Source!AK80,Source!AL80 + Source!AM80 + Source!AO80)</f>
        <v>1425.43</v>
      </c>
      <c r="H190" s="31"/>
      <c r="I190" s="33"/>
      <c r="J190" s="31" t="str">
        <f>Source!BO80</f>
        <v>15-02-016-1</v>
      </c>
      <c r="K190" s="31"/>
      <c r="L190" s="33"/>
      <c r="M190" s="34"/>
      <c r="S190">
        <f>ROUND((Source!FX80/100)*((ROUND(Source!AF80*Source!I80, 0)+ROUND(Source!AE80*Source!I80, 0))), 0)</f>
        <v>110</v>
      </c>
      <c r="T190">
        <f>Source!X80</f>
        <v>2313</v>
      </c>
      <c r="U190">
        <f>ROUND((Source!FY80/100)*((ROUND(Source!AF80*Source!I80, 0)+ROUND(Source!AE80*Source!I80, 0))), 0)</f>
        <v>70</v>
      </c>
      <c r="V190">
        <f>Source!Y80</f>
        <v>1472</v>
      </c>
    </row>
    <row r="191" spans="1:26">
      <c r="D191" s="49" t="str">
        <f>"Объем: "&amp;Source!I80&amp;"=21/"&amp;"100"</f>
        <v>Объем: 0,21=21/100</v>
      </c>
    </row>
    <row r="192" spans="1:26" ht="14.4">
      <c r="A192" s="27"/>
      <c r="B192" s="27"/>
      <c r="C192" s="28"/>
      <c r="D192" s="25" t="s">
        <v>962</v>
      </c>
      <c r="E192" s="30"/>
      <c r="F192" s="10"/>
      <c r="G192" s="32">
        <f>Source!AO80</f>
        <v>639.39</v>
      </c>
      <c r="H192" s="31" t="str">
        <f>Source!DG80</f>
        <v>)*1,15</v>
      </c>
      <c r="I192" s="33">
        <f>ROUND(Source!AF80*Source!I80, 0)</f>
        <v>154</v>
      </c>
      <c r="J192" s="31"/>
      <c r="K192" s="31">
        <f>IF(Source!BA80&lt;&gt; 0, Source!BA80, 1)</f>
        <v>20.88</v>
      </c>
      <c r="L192" s="33">
        <f>Source!S80</f>
        <v>3224</v>
      </c>
      <c r="M192" s="34"/>
      <c r="R192">
        <f>I192</f>
        <v>154</v>
      </c>
    </row>
    <row r="193" spans="1:26" ht="14.4">
      <c r="A193" s="27"/>
      <c r="B193" s="27"/>
      <c r="C193" s="28"/>
      <c r="D193" s="25" t="s">
        <v>125</v>
      </c>
      <c r="E193" s="30"/>
      <c r="F193" s="10"/>
      <c r="G193" s="32">
        <f>Source!AM80</f>
        <v>100.28</v>
      </c>
      <c r="H193" s="31" t="str">
        <f>Source!DE80</f>
        <v>)*1,25</v>
      </c>
      <c r="I193" s="33">
        <f>ROUND(Source!AD80*Source!I80, 0)</f>
        <v>26</v>
      </c>
      <c r="J193" s="31"/>
      <c r="K193" s="31">
        <f>IF(Source!BB80&lt;&gt; 0, Source!BB80, 1)</f>
        <v>14.61</v>
      </c>
      <c r="L193" s="33">
        <f>Source!Q80</f>
        <v>385</v>
      </c>
      <c r="M193" s="34"/>
    </row>
    <row r="194" spans="1:26" ht="14.4">
      <c r="A194" s="27"/>
      <c r="B194" s="27"/>
      <c r="C194" s="28"/>
      <c r="D194" s="25" t="s">
        <v>963</v>
      </c>
      <c r="E194" s="30"/>
      <c r="F194" s="10"/>
      <c r="G194" s="32">
        <f>Source!AN80</f>
        <v>51.11</v>
      </c>
      <c r="H194" s="31" t="str">
        <f>Source!DF80</f>
        <v>)*1,25</v>
      </c>
      <c r="I194" s="33">
        <f>ROUND(Source!AE80*Source!I80, 0)</f>
        <v>13</v>
      </c>
      <c r="J194" s="31"/>
      <c r="K194" s="31">
        <f>IF(Source!BS80&lt;&gt; 0, Source!BS80, 1)</f>
        <v>20.88</v>
      </c>
      <c r="L194" s="33">
        <f>Source!R80</f>
        <v>280</v>
      </c>
      <c r="M194" s="34"/>
      <c r="R194">
        <f>I194</f>
        <v>13</v>
      </c>
    </row>
    <row r="195" spans="1:26" ht="14.4">
      <c r="A195" s="27"/>
      <c r="B195" s="27"/>
      <c r="C195" s="28"/>
      <c r="D195" s="25" t="s">
        <v>969</v>
      </c>
      <c r="E195" s="30"/>
      <c r="F195" s="10"/>
      <c r="G195" s="32">
        <f>Source!AL80</f>
        <v>685.76</v>
      </c>
      <c r="H195" s="31" t="str">
        <f>Source!DD80</f>
        <v/>
      </c>
      <c r="I195" s="33">
        <f>ROUND(Source!AC80*Source!I80, 0)</f>
        <v>144</v>
      </c>
      <c r="J195" s="31"/>
      <c r="K195" s="31">
        <f>IF(Source!BC80&lt;&gt; 0, Source!BC80, 1)</f>
        <v>7.89</v>
      </c>
      <c r="L195" s="33">
        <f>Source!P80</f>
        <v>1136</v>
      </c>
      <c r="M195" s="34"/>
    </row>
    <row r="196" spans="1:26" ht="14.4">
      <c r="A196" s="27"/>
      <c r="B196" s="27"/>
      <c r="C196" s="28"/>
      <c r="D196" s="25" t="s">
        <v>964</v>
      </c>
      <c r="E196" s="30" t="s">
        <v>965</v>
      </c>
      <c r="F196" s="10">
        <f>Source!BZ80</f>
        <v>105</v>
      </c>
      <c r="G196" s="92" t="str">
        <f>CONCATENATE(" )", Source!DL80, Source!FT80, "=", Source!FX80)</f>
        <v xml:space="preserve"> )*0,9*0,7=66,15</v>
      </c>
      <c r="H196" s="90"/>
      <c r="I196" s="33">
        <f>SUM(S190:S198)</f>
        <v>110</v>
      </c>
      <c r="J196" s="35"/>
      <c r="K196" s="25">
        <f>Source!AT80</f>
        <v>66</v>
      </c>
      <c r="L196" s="33">
        <f>SUM(T190:T198)</f>
        <v>2313</v>
      </c>
      <c r="M196" s="34"/>
    </row>
    <row r="197" spans="1:26" ht="14.4">
      <c r="A197" s="27"/>
      <c r="B197" s="27"/>
      <c r="C197" s="28"/>
      <c r="D197" s="25" t="s">
        <v>966</v>
      </c>
      <c r="E197" s="30" t="s">
        <v>965</v>
      </c>
      <c r="F197" s="10">
        <f>Source!CA80</f>
        <v>55</v>
      </c>
      <c r="G197" s="92" t="str">
        <f>CONCATENATE(" )", Source!DM80, Source!FU80, "=", Source!FY80)</f>
        <v xml:space="preserve"> )*0,85*0,9=42,075</v>
      </c>
      <c r="H197" s="90"/>
      <c r="I197" s="33">
        <f>SUM(U190:U198)</f>
        <v>70</v>
      </c>
      <c r="J197" s="35"/>
      <c r="K197" s="25">
        <f>Source!AU80</f>
        <v>42</v>
      </c>
      <c r="L197" s="33">
        <f>SUM(V190:V198)</f>
        <v>1472</v>
      </c>
      <c r="M197" s="34"/>
    </row>
    <row r="198" spans="1:26" ht="14.4">
      <c r="A198" s="39"/>
      <c r="B198" s="39"/>
      <c r="C198" s="40"/>
      <c r="D198" s="41" t="s">
        <v>967</v>
      </c>
      <c r="E198" s="42" t="s">
        <v>968</v>
      </c>
      <c r="F198" s="43">
        <f>Source!AQ80</f>
        <v>75.400000000000006</v>
      </c>
      <c r="G198" s="44"/>
      <c r="H198" s="45" t="str">
        <f>Source!DI80</f>
        <v>)*1,15</v>
      </c>
      <c r="I198" s="46"/>
      <c r="J198" s="45"/>
      <c r="K198" s="45"/>
      <c r="L198" s="46"/>
      <c r="M198" s="47">
        <f>Source!U80</f>
        <v>18.209099999999999</v>
      </c>
    </row>
    <row r="199" spans="1:26" ht="13.8">
      <c r="H199" s="93">
        <f>ROUND(Source!AC80*Source!I80, 0)+ROUND(Source!AF80*Source!I80, 0)+ROUND(Source!AD80*Source!I80, 0)+SUM(I196:I197)</f>
        <v>504</v>
      </c>
      <c r="I199" s="93"/>
      <c r="K199" s="93">
        <f>Source!O80+SUM(L196:L197)</f>
        <v>8530</v>
      </c>
      <c r="L199" s="93"/>
      <c r="M199" s="38">
        <f>Source!U80</f>
        <v>18.209099999999999</v>
      </c>
      <c r="O199" s="37">
        <f>H199</f>
        <v>504</v>
      </c>
      <c r="P199" s="37">
        <f>K199</f>
        <v>8530</v>
      </c>
      <c r="Q199" s="48">
        <f>M199</f>
        <v>18.209099999999999</v>
      </c>
      <c r="W199">
        <f>IF(Source!BI80&lt;=1,H199, 0)</f>
        <v>504</v>
      </c>
      <c r="X199">
        <f>IF(Source!BI80=2,H199, 0)</f>
        <v>0</v>
      </c>
      <c r="Y199">
        <f>IF(Source!BI80=3,H199, 0)</f>
        <v>0</v>
      </c>
      <c r="Z199">
        <f>IF(Source!BI80=4,H199, 0)</f>
        <v>0</v>
      </c>
    </row>
    <row r="200" spans="1:26" ht="83.4">
      <c r="A200" s="27">
        <v>19</v>
      </c>
      <c r="B200" s="27" t="str">
        <f>Source!E81</f>
        <v>19</v>
      </c>
      <c r="C200" s="28" t="str">
        <f>Source!F81</f>
        <v>15-01-019-5</v>
      </c>
      <c r="D200" s="25" t="str">
        <f>Source!G81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E200" s="30" t="str">
        <f>Source!H81</f>
        <v>100 М2 ПОВЕРХНОСТИ ОБЛИЦОВКИ</v>
      </c>
      <c r="F200" s="10">
        <f>Source!I81</f>
        <v>0.21</v>
      </c>
      <c r="G200" s="32">
        <f>IF(Source!AK81&lt;&gt; 0, Source!AK81,Source!AL81 + Source!AM81 + Source!AO81)</f>
        <v>10508.87</v>
      </c>
      <c r="H200" s="31"/>
      <c r="I200" s="33"/>
      <c r="J200" s="31" t="str">
        <f>Source!BO81</f>
        <v>15-01-019-5</v>
      </c>
      <c r="K200" s="31"/>
      <c r="L200" s="33"/>
      <c r="M200" s="34"/>
      <c r="S200">
        <f>ROUND((Source!FX81/100)*((ROUND(Source!AF81*Source!I81, 0)+ROUND(Source!AE81*Source!I81, 0))), 0)</f>
        <v>222</v>
      </c>
      <c r="T200">
        <f>Source!X81</f>
        <v>4616</v>
      </c>
      <c r="U200">
        <f>ROUND((Source!FY81/100)*((ROUND(Source!AF81*Source!I81, 0)+ROUND(Source!AE81*Source!I81, 0))), 0)</f>
        <v>141</v>
      </c>
      <c r="V200">
        <f>Source!Y81</f>
        <v>2937</v>
      </c>
    </row>
    <row r="201" spans="1:26">
      <c r="D201" s="49" t="str">
        <f>"Объем: "&amp;Source!I81&amp;"=21/"&amp;"100"</f>
        <v>Объем: 0,21=21/100</v>
      </c>
    </row>
    <row r="202" spans="1:26" ht="14.4">
      <c r="A202" s="27"/>
      <c r="B202" s="27"/>
      <c r="C202" s="28"/>
      <c r="D202" s="25" t="s">
        <v>962</v>
      </c>
      <c r="E202" s="30"/>
      <c r="F202" s="10"/>
      <c r="G202" s="32">
        <f>Source!AO81</f>
        <v>1369.97</v>
      </c>
      <c r="H202" s="31" t="str">
        <f>Source!DG81</f>
        <v>)*1,15</v>
      </c>
      <c r="I202" s="33">
        <f>ROUND(Source!AF81*Source!I81, 0)</f>
        <v>331</v>
      </c>
      <c r="J202" s="31"/>
      <c r="K202" s="31">
        <f>IF(Source!BA81&lt;&gt; 0, Source!BA81, 1)</f>
        <v>20.88</v>
      </c>
      <c r="L202" s="33">
        <f>Source!S81</f>
        <v>6908</v>
      </c>
      <c r="M202" s="34"/>
      <c r="R202">
        <f>I202</f>
        <v>331</v>
      </c>
    </row>
    <row r="203" spans="1:26" ht="14.4">
      <c r="A203" s="27"/>
      <c r="B203" s="27"/>
      <c r="C203" s="28"/>
      <c r="D203" s="25" t="s">
        <v>125</v>
      </c>
      <c r="E203" s="30"/>
      <c r="F203" s="10"/>
      <c r="G203" s="32">
        <f>Source!AM81</f>
        <v>30.36</v>
      </c>
      <c r="H203" s="31" t="str">
        <f>Source!DE81</f>
        <v>)*1,25</v>
      </c>
      <c r="I203" s="33">
        <f>ROUND(Source!AD81*Source!I81, 0)</f>
        <v>8</v>
      </c>
      <c r="J203" s="31"/>
      <c r="K203" s="31">
        <f>IF(Source!BB81&lt;&gt; 0, Source!BB81, 1)</f>
        <v>13.63</v>
      </c>
      <c r="L203" s="33">
        <f>Source!Q81</f>
        <v>109</v>
      </c>
      <c r="M203" s="34"/>
    </row>
    <row r="204" spans="1:26" ht="14.4">
      <c r="A204" s="27"/>
      <c r="B204" s="27"/>
      <c r="C204" s="28"/>
      <c r="D204" s="25" t="s">
        <v>963</v>
      </c>
      <c r="E204" s="30"/>
      <c r="F204" s="10"/>
      <c r="G204" s="32">
        <f>Source!AN81</f>
        <v>15.69</v>
      </c>
      <c r="H204" s="31" t="str">
        <f>Source!DF81</f>
        <v>)*1,25</v>
      </c>
      <c r="I204" s="33">
        <f>ROUND(Source!AE81*Source!I81, 0)</f>
        <v>4</v>
      </c>
      <c r="J204" s="31"/>
      <c r="K204" s="31">
        <f>IF(Source!BS81&lt;&gt; 0, Source!BS81, 1)</f>
        <v>20.88</v>
      </c>
      <c r="L204" s="33">
        <f>Source!R81</f>
        <v>86</v>
      </c>
      <c r="M204" s="34"/>
      <c r="R204">
        <f>I204</f>
        <v>4</v>
      </c>
    </row>
    <row r="205" spans="1:26" ht="14.4">
      <c r="A205" s="27"/>
      <c r="B205" s="27"/>
      <c r="C205" s="28"/>
      <c r="D205" s="25" t="s">
        <v>969</v>
      </c>
      <c r="E205" s="30"/>
      <c r="F205" s="10"/>
      <c r="G205" s="32">
        <f>Source!AL81</f>
        <v>9108.5400000000009</v>
      </c>
      <c r="H205" s="31" t="str">
        <f>Source!DD81</f>
        <v/>
      </c>
      <c r="I205" s="33">
        <f>ROUND(Source!AC81*Source!I81, 0)</f>
        <v>1913</v>
      </c>
      <c r="J205" s="31"/>
      <c r="K205" s="31">
        <f>IF(Source!BC81&lt;&gt; 0, Source!BC81, 1)</f>
        <v>3.59</v>
      </c>
      <c r="L205" s="33">
        <f>Source!P81</f>
        <v>6867</v>
      </c>
      <c r="M205" s="34"/>
    </row>
    <row r="206" spans="1:26" ht="14.4">
      <c r="A206" s="27"/>
      <c r="B206" s="27"/>
      <c r="C206" s="28"/>
      <c r="D206" s="25" t="s">
        <v>964</v>
      </c>
      <c r="E206" s="30" t="s">
        <v>965</v>
      </c>
      <c r="F206" s="10">
        <f>Source!BZ81</f>
        <v>105</v>
      </c>
      <c r="G206" s="92" t="str">
        <f>CONCATENATE(" )", Source!DL81, Source!FT81, "=", Source!FX81)</f>
        <v xml:space="preserve"> )*0,9*0,7=66,15</v>
      </c>
      <c r="H206" s="90"/>
      <c r="I206" s="33">
        <f>SUM(S200:S209)</f>
        <v>222</v>
      </c>
      <c r="J206" s="35"/>
      <c r="K206" s="25">
        <f>Source!AT81</f>
        <v>66</v>
      </c>
      <c r="L206" s="33">
        <f>SUM(T200:T209)</f>
        <v>4616</v>
      </c>
      <c r="M206" s="34"/>
    </row>
    <row r="207" spans="1:26" ht="14.4">
      <c r="A207" s="27"/>
      <c r="B207" s="27"/>
      <c r="C207" s="28"/>
      <c r="D207" s="25" t="s">
        <v>966</v>
      </c>
      <c r="E207" s="30" t="s">
        <v>965</v>
      </c>
      <c r="F207" s="10">
        <f>Source!CA81</f>
        <v>55</v>
      </c>
      <c r="G207" s="92" t="str">
        <f>CONCATENATE(" )", Source!DM81, Source!FU81, "=", Source!FY81)</f>
        <v xml:space="preserve"> )*0,85*0,9=42,075</v>
      </c>
      <c r="H207" s="90"/>
      <c r="I207" s="33">
        <f>SUM(U200:U209)</f>
        <v>141</v>
      </c>
      <c r="J207" s="35"/>
      <c r="K207" s="25">
        <f>Source!AU81</f>
        <v>42</v>
      </c>
      <c r="L207" s="33">
        <f>SUM(V200:V209)</f>
        <v>2937</v>
      </c>
      <c r="M207" s="34"/>
    </row>
    <row r="208" spans="1:26" ht="14.4">
      <c r="A208" s="27"/>
      <c r="B208" s="27"/>
      <c r="C208" s="28"/>
      <c r="D208" s="25" t="s">
        <v>967</v>
      </c>
      <c r="E208" s="30" t="s">
        <v>968</v>
      </c>
      <c r="F208" s="10">
        <f>Source!AQ81</f>
        <v>159.66999999999999</v>
      </c>
      <c r="G208" s="32"/>
      <c r="H208" s="31" t="str">
        <f>Source!DI81</f>
        <v>)*1,15</v>
      </c>
      <c r="I208" s="33"/>
      <c r="J208" s="31"/>
      <c r="K208" s="31"/>
      <c r="L208" s="33"/>
      <c r="M208" s="36">
        <f>Source!U81</f>
        <v>38.560304999999993</v>
      </c>
    </row>
    <row r="209" spans="1:28" ht="43.2">
      <c r="A209" s="53">
        <v>20</v>
      </c>
      <c r="B209" s="53" t="str">
        <f>Source!E82</f>
        <v>19,1</v>
      </c>
      <c r="C209" s="53" t="str">
        <f>Source!F82</f>
        <v>101-0256</v>
      </c>
      <c r="D209" s="53" t="str">
        <f>Source!G82</f>
        <v>Плитки керамические глазурованные для внутренней облицовки стен гладкие без завала белые</v>
      </c>
      <c r="E209" s="54" t="str">
        <f>Source!H82</f>
        <v>м2</v>
      </c>
      <c r="F209" s="55">
        <f>Source!I82</f>
        <v>-21</v>
      </c>
      <c r="G209" s="56">
        <f>Source!AK82</f>
        <v>68</v>
      </c>
      <c r="H209" s="57" t="s">
        <v>3</v>
      </c>
      <c r="I209" s="58">
        <f>ROUND(Source!AC82*Source!I82, 0)+ROUND(Source!AD82*Source!I82, 0)+ROUND(Source!AF82*Source!I82, 0)</f>
        <v>-1428</v>
      </c>
      <c r="J209" s="54"/>
      <c r="K209" s="54">
        <f>IF(Source!BC82&lt;&gt; 0, Source!BC82, 1)</f>
        <v>3.78</v>
      </c>
      <c r="L209" s="58">
        <f>Source!O82</f>
        <v>-5398</v>
      </c>
      <c r="M209" s="56"/>
      <c r="S209">
        <f>ROUND((Source!FX82/100)*((ROUND(Source!AF82*Source!I82, 0)+ROUND(Source!AE82*Source!I82, 0))), 0)</f>
        <v>0</v>
      </c>
      <c r="T209">
        <f>Source!X82</f>
        <v>0</v>
      </c>
      <c r="U209">
        <f>ROUND((Source!FY82/100)*((ROUND(Source!AF82*Source!I82, 0)+ROUND(Source!AE82*Source!I82, 0))), 0)</f>
        <v>0</v>
      </c>
      <c r="V209">
        <f>Source!Y82</f>
        <v>0</v>
      </c>
      <c r="Y209">
        <f>IF(Source!BI82=3,I209, 0)</f>
        <v>0</v>
      </c>
      <c r="AA209">
        <f>ROUND(Source!AC82*Source!I82, 0)+ROUND(Source!AD82*Source!I82, 0)+ROUND(Source!AF82*Source!I82, 0)</f>
        <v>-1428</v>
      </c>
      <c r="AB209">
        <f>Source!O82</f>
        <v>-5398</v>
      </c>
    </row>
    <row r="210" spans="1:28" ht="13.8">
      <c r="H210" s="93">
        <f>ROUND(Source!AC81*Source!I81, 0)+ROUND(Source!AF81*Source!I81, 0)+ROUND(Source!AD81*Source!I81, 0)+SUM(I206:I207)+SUM(AA209:AA209)</f>
        <v>1187</v>
      </c>
      <c r="I210" s="93"/>
      <c r="K210" s="93">
        <f>Source!O81+SUM(L206:L207)+SUM(AB209:AB209)</f>
        <v>16039</v>
      </c>
      <c r="L210" s="93"/>
      <c r="M210" s="38">
        <f>Source!U81</f>
        <v>38.560304999999993</v>
      </c>
      <c r="O210" s="37">
        <f>H210</f>
        <v>1187</v>
      </c>
      <c r="P210" s="37">
        <f>K210</f>
        <v>16039</v>
      </c>
      <c r="Q210" s="48">
        <f>M210</f>
        <v>38.560304999999993</v>
      </c>
      <c r="W210">
        <f>IF(Source!BI81&lt;=1,H210, 0)</f>
        <v>1187</v>
      </c>
      <c r="X210">
        <f>IF(Source!BI81=2,H210, 0)</f>
        <v>0</v>
      </c>
      <c r="Y210">
        <f>IF(Source!BI81=3,H210, 0)</f>
        <v>0</v>
      </c>
      <c r="Z210">
        <f>IF(Source!BI81=4,H210, 0)</f>
        <v>0</v>
      </c>
    </row>
    <row r="211" spans="1:28" ht="42">
      <c r="A211" s="27">
        <v>21</v>
      </c>
      <c r="B211" s="27" t="str">
        <f>Source!E83</f>
        <v>20</v>
      </c>
      <c r="C211" s="28" t="str">
        <f>Source!F83</f>
        <v>101-0258</v>
      </c>
      <c r="D211" s="25" t="str">
        <f>Source!G83</f>
        <v>Плитки керамические глазурованные для внутренней облицовки стен гладкие без завала цветные (однотонные)</v>
      </c>
      <c r="E211" s="30" t="str">
        <f>Source!H83</f>
        <v>м2</v>
      </c>
      <c r="F211" s="10">
        <f>Source!I83</f>
        <v>21</v>
      </c>
      <c r="G211" s="32">
        <f>IF(Source!AK83&lt;&gt; 0, Source!AK83,Source!AL83 + Source!AM83 + Source!AO83)</f>
        <v>110.96</v>
      </c>
      <c r="H211" s="31"/>
      <c r="I211" s="33"/>
      <c r="J211" s="31" t="str">
        <f>Source!BO83</f>
        <v>101-0258</v>
      </c>
      <c r="K211" s="31"/>
      <c r="L211" s="33"/>
      <c r="M211" s="34"/>
      <c r="S211">
        <f>ROUND((Source!FX83/100)*((ROUND(Source!AF83*Source!I83, 0)+ROUND(Source!AE83*Source!I83, 0))), 0)</f>
        <v>0</v>
      </c>
      <c r="T211">
        <f>Source!X83</f>
        <v>0</v>
      </c>
      <c r="U211">
        <f>ROUND((Source!FY83/100)*((ROUND(Source!AF83*Source!I83, 0)+ROUND(Source!AE83*Source!I83, 0))), 0)</f>
        <v>0</v>
      </c>
      <c r="V211">
        <f>Source!Y83</f>
        <v>0</v>
      </c>
    </row>
    <row r="212" spans="1:28" ht="14.4">
      <c r="A212" s="39"/>
      <c r="B212" s="39"/>
      <c r="C212" s="40"/>
      <c r="D212" s="41" t="s">
        <v>969</v>
      </c>
      <c r="E212" s="42"/>
      <c r="F212" s="43"/>
      <c r="G212" s="44">
        <f>Source!AL83</f>
        <v>110.96</v>
      </c>
      <c r="H212" s="45" t="str">
        <f>Source!DD83</f>
        <v/>
      </c>
      <c r="I212" s="46">
        <f>ROUND(Source!AC83*Source!I83, 0)</f>
        <v>2330</v>
      </c>
      <c r="J212" s="45"/>
      <c r="K212" s="45">
        <f>IF(Source!BC83&lt;&gt; 0, Source!BC83, 1)</f>
        <v>3.55</v>
      </c>
      <c r="L212" s="46">
        <f>Source!P83</f>
        <v>8272</v>
      </c>
      <c r="M212" s="52"/>
    </row>
    <row r="213" spans="1:28" ht="13.8">
      <c r="H213" s="93">
        <f>ROUND(Source!AC83*Source!I83, 0)+ROUND(Source!AF83*Source!I83, 0)+ROUND(Source!AD83*Source!I83, 0)</f>
        <v>2330</v>
      </c>
      <c r="I213" s="93"/>
      <c r="K213" s="93">
        <f>Source!O83</f>
        <v>8272</v>
      </c>
      <c r="L213" s="93"/>
      <c r="M213" s="38">
        <f>Source!U83</f>
        <v>0</v>
      </c>
      <c r="O213" s="37">
        <f>H213</f>
        <v>2330</v>
      </c>
      <c r="P213" s="37">
        <f>K213</f>
        <v>8272</v>
      </c>
      <c r="Q213" s="48">
        <f>M213</f>
        <v>0</v>
      </c>
      <c r="W213">
        <f>IF(Source!BI83&lt;=1,H213, 0)</f>
        <v>2330</v>
      </c>
      <c r="X213">
        <f>IF(Source!BI83=2,H213, 0)</f>
        <v>0</v>
      </c>
      <c r="Y213">
        <f>IF(Source!BI83=3,H213, 0)</f>
        <v>0</v>
      </c>
      <c r="Z213">
        <f>IF(Source!BI83=4,H213, 0)</f>
        <v>0</v>
      </c>
    </row>
    <row r="214" spans="1:28" ht="43.2">
      <c r="A214" s="27">
        <v>22</v>
      </c>
      <c r="B214" s="27" t="str">
        <f>Source!E84</f>
        <v>21</v>
      </c>
      <c r="C214" s="28" t="str">
        <f>Source!F84</f>
        <v>11-01-047-1</v>
      </c>
      <c r="D214" s="25" t="str">
        <f>Source!G84</f>
        <v>Устройство покрытий из плит керамогранитных размером 40х40 см</v>
      </c>
      <c r="E214" s="30" t="str">
        <f>Source!H84</f>
        <v>100 м2 покрытия</v>
      </c>
      <c r="F214" s="10">
        <f>Source!I84</f>
        <v>4.0399999999999998E-2</v>
      </c>
      <c r="G214" s="32">
        <f>IF(Source!AK84&lt;&gt; 0, Source!AK84,Source!AL84 + Source!AM84 + Source!AO84)</f>
        <v>21676.95</v>
      </c>
      <c r="H214" s="31"/>
      <c r="I214" s="33"/>
      <c r="J214" s="31" t="str">
        <f>Source!BO84</f>
        <v>11-01-047-1</v>
      </c>
      <c r="K214" s="31"/>
      <c r="L214" s="33"/>
      <c r="M214" s="34"/>
      <c r="S214">
        <f>ROUND((Source!FX84/100)*((ROUND(Source!AF84*Source!I84, 0)+ROUND(Source!AE84*Source!I84, 0))), 0)</f>
        <v>92</v>
      </c>
      <c r="T214">
        <f>Source!X84</f>
        <v>1907</v>
      </c>
      <c r="U214">
        <f>ROUND((Source!FY84/100)*((ROUND(Source!AF84*Source!I84, 0)+ROUND(Source!AE84*Source!I84, 0))), 0)</f>
        <v>68</v>
      </c>
      <c r="V214">
        <f>Source!Y84</f>
        <v>1411</v>
      </c>
    </row>
    <row r="215" spans="1:28">
      <c r="D215" s="49" t="str">
        <f>"Объем: "&amp;Source!I84&amp;"=4,04/"&amp;"100"</f>
        <v>Объем: 0,0404=4,04/100</v>
      </c>
    </row>
    <row r="216" spans="1:28" ht="14.4">
      <c r="A216" s="27"/>
      <c r="B216" s="27"/>
      <c r="C216" s="28"/>
      <c r="D216" s="25" t="s">
        <v>962</v>
      </c>
      <c r="E216" s="30"/>
      <c r="F216" s="10"/>
      <c r="G216" s="32">
        <f>Source!AO84</f>
        <v>2536.13</v>
      </c>
      <c r="H216" s="31" t="str">
        <f>Source!DG84</f>
        <v>)*1,15</v>
      </c>
      <c r="I216" s="33">
        <f>ROUND(Source!AF84*Source!I84, 0)</f>
        <v>118</v>
      </c>
      <c r="J216" s="31"/>
      <c r="K216" s="31">
        <f>IF(Source!BA84&lt;&gt; 0, Source!BA84, 1)</f>
        <v>20.88</v>
      </c>
      <c r="L216" s="33">
        <f>Source!S84</f>
        <v>2460</v>
      </c>
      <c r="M216" s="34"/>
      <c r="R216">
        <f>I216</f>
        <v>118</v>
      </c>
    </row>
    <row r="217" spans="1:28" ht="14.4">
      <c r="A217" s="27"/>
      <c r="B217" s="27"/>
      <c r="C217" s="28"/>
      <c r="D217" s="25" t="s">
        <v>125</v>
      </c>
      <c r="E217" s="30"/>
      <c r="F217" s="10"/>
      <c r="G217" s="32">
        <f>Source!AM84</f>
        <v>23.65</v>
      </c>
      <c r="H217" s="31" t="str">
        <f>Source!DE84</f>
        <v>)*1,25</v>
      </c>
      <c r="I217" s="33">
        <f>ROUND(Source!AD84*Source!I84, 0)</f>
        <v>1</v>
      </c>
      <c r="J217" s="31"/>
      <c r="K217" s="31">
        <f>IF(Source!BB84&lt;&gt; 0, Source!BB84, 1)</f>
        <v>16.059999999999999</v>
      </c>
      <c r="L217" s="33">
        <f>Source!Q84</f>
        <v>19</v>
      </c>
      <c r="M217" s="34"/>
    </row>
    <row r="218" spans="1:28" ht="14.4">
      <c r="A218" s="27"/>
      <c r="B218" s="27"/>
      <c r="C218" s="28"/>
      <c r="D218" s="25" t="s">
        <v>963</v>
      </c>
      <c r="E218" s="30"/>
      <c r="F218" s="10"/>
      <c r="G218" s="32">
        <f>Source!AN84</f>
        <v>15.55</v>
      </c>
      <c r="H218" s="31" t="str">
        <f>Source!DF84</f>
        <v>)*1,25</v>
      </c>
      <c r="I218" s="33">
        <f>ROUND(Source!AE84*Source!I84, 0)</f>
        <v>1</v>
      </c>
      <c r="J218" s="31"/>
      <c r="K218" s="31">
        <f>IF(Source!BS84&lt;&gt; 0, Source!BS84, 1)</f>
        <v>20.88</v>
      </c>
      <c r="L218" s="33">
        <f>Source!R84</f>
        <v>16</v>
      </c>
      <c r="M218" s="34"/>
      <c r="R218">
        <f>I218</f>
        <v>1</v>
      </c>
    </row>
    <row r="219" spans="1:28" ht="14.4">
      <c r="A219" s="27"/>
      <c r="B219" s="27"/>
      <c r="C219" s="28"/>
      <c r="D219" s="25" t="s">
        <v>969</v>
      </c>
      <c r="E219" s="30"/>
      <c r="F219" s="10"/>
      <c r="G219" s="32">
        <f>Source!AL84</f>
        <v>19117.169999999998</v>
      </c>
      <c r="H219" s="31" t="str">
        <f>Source!DD84</f>
        <v/>
      </c>
      <c r="I219" s="33">
        <f>ROUND(Source!AC84*Source!I84, 0)</f>
        <v>772</v>
      </c>
      <c r="J219" s="31"/>
      <c r="K219" s="31">
        <f>IF(Source!BC84&lt;&gt; 0, Source!BC84, 1)</f>
        <v>3.22</v>
      </c>
      <c r="L219" s="33">
        <f>Source!P84</f>
        <v>2487</v>
      </c>
      <c r="M219" s="34"/>
    </row>
    <row r="220" spans="1:28" ht="14.4">
      <c r="A220" s="27"/>
      <c r="B220" s="27"/>
      <c r="C220" s="28"/>
      <c r="D220" s="25" t="s">
        <v>964</v>
      </c>
      <c r="E220" s="30" t="s">
        <v>965</v>
      </c>
      <c r="F220" s="10">
        <f>Source!BZ84</f>
        <v>123</v>
      </c>
      <c r="G220" s="92" t="str">
        <f>CONCATENATE(" )", Source!DL84, Source!FT84, "=", Source!FX84)</f>
        <v xml:space="preserve"> )*0,9*0,7=77,49</v>
      </c>
      <c r="H220" s="90"/>
      <c r="I220" s="33">
        <f>SUM(S214:S222)</f>
        <v>92</v>
      </c>
      <c r="J220" s="35"/>
      <c r="K220" s="25">
        <f>Source!AT84</f>
        <v>77</v>
      </c>
      <c r="L220" s="33">
        <f>SUM(T214:T222)</f>
        <v>1907</v>
      </c>
      <c r="M220" s="34"/>
    </row>
    <row r="221" spans="1:28" ht="14.4">
      <c r="A221" s="27"/>
      <c r="B221" s="27"/>
      <c r="C221" s="28"/>
      <c r="D221" s="25" t="s">
        <v>966</v>
      </c>
      <c r="E221" s="30" t="s">
        <v>965</v>
      </c>
      <c r="F221" s="10">
        <f>Source!CA84</f>
        <v>75</v>
      </c>
      <c r="G221" s="92" t="str">
        <f>CONCATENATE(" )", Source!DM84, Source!FU84, "=", Source!FY84)</f>
        <v xml:space="preserve"> )*0,85*0,9=57,375</v>
      </c>
      <c r="H221" s="90"/>
      <c r="I221" s="33">
        <f>SUM(U214:U222)</f>
        <v>68</v>
      </c>
      <c r="J221" s="35"/>
      <c r="K221" s="25">
        <f>Source!AU84</f>
        <v>57</v>
      </c>
      <c r="L221" s="33">
        <f>SUM(V214:V222)</f>
        <v>1411</v>
      </c>
      <c r="M221" s="34"/>
    </row>
    <row r="222" spans="1:28" ht="14.4">
      <c r="A222" s="39"/>
      <c r="B222" s="39"/>
      <c r="C222" s="40"/>
      <c r="D222" s="41" t="s">
        <v>967</v>
      </c>
      <c r="E222" s="42" t="s">
        <v>968</v>
      </c>
      <c r="F222" s="43">
        <f>Source!AQ84</f>
        <v>310.42</v>
      </c>
      <c r="G222" s="44"/>
      <c r="H222" s="45" t="str">
        <f>Source!DI84</f>
        <v>)*1,15</v>
      </c>
      <c r="I222" s="46"/>
      <c r="J222" s="45"/>
      <c r="K222" s="45"/>
      <c r="L222" s="46"/>
      <c r="M222" s="47">
        <f>Source!U84</f>
        <v>14.4221132</v>
      </c>
    </row>
    <row r="223" spans="1:28" ht="13.8">
      <c r="H223" s="93">
        <f>ROUND(Source!AC84*Source!I84, 0)+ROUND(Source!AF84*Source!I84, 0)+ROUND(Source!AD84*Source!I84, 0)+SUM(I220:I221)</f>
        <v>1051</v>
      </c>
      <c r="I223" s="93"/>
      <c r="K223" s="93">
        <f>Source!O84+SUM(L220:L221)</f>
        <v>8284</v>
      </c>
      <c r="L223" s="93"/>
      <c r="M223" s="38">
        <f>Source!U84</f>
        <v>14.4221132</v>
      </c>
      <c r="O223" s="37">
        <f>H223</f>
        <v>1051</v>
      </c>
      <c r="P223" s="37">
        <f>K223</f>
        <v>8284</v>
      </c>
      <c r="Q223" s="48">
        <f>M223</f>
        <v>14.4221132</v>
      </c>
      <c r="W223">
        <f>IF(Source!BI84&lt;=1,H223, 0)</f>
        <v>1051</v>
      </c>
      <c r="X223">
        <f>IF(Source!BI84=2,H223, 0)</f>
        <v>0</v>
      </c>
      <c r="Y223">
        <f>IF(Source!BI84=3,H223, 0)</f>
        <v>0</v>
      </c>
      <c r="Z223">
        <f>IF(Source!BI84=4,H223, 0)</f>
        <v>0</v>
      </c>
    </row>
    <row r="224" spans="1:28" ht="28.2">
      <c r="A224" s="27">
        <v>23</v>
      </c>
      <c r="B224" s="27" t="str">
        <f>Source!E85</f>
        <v>22</v>
      </c>
      <c r="C224" s="28" t="str">
        <f>Source!F85</f>
        <v>101-6968</v>
      </c>
      <c r="D224" s="25" t="str">
        <f>Source!G85</f>
        <v>Состав грунтовочный ЛАЭС "Грунтовка глубокого проникновения"</v>
      </c>
      <c r="E224" s="30" t="str">
        <f>Source!H85</f>
        <v>кг</v>
      </c>
      <c r="F224" s="10">
        <f>Source!I85</f>
        <v>0.52</v>
      </c>
      <c r="G224" s="32">
        <f>IF(Source!AK85&lt;&gt; 0, Source!AK85,Source!AL85 + Source!AM85 + Source!AO85)</f>
        <v>22.1</v>
      </c>
      <c r="H224" s="31"/>
      <c r="I224" s="33"/>
      <c r="J224" s="31" t="str">
        <f>Source!BO85</f>
        <v>101-6968</v>
      </c>
      <c r="K224" s="31"/>
      <c r="L224" s="33"/>
      <c r="M224" s="34"/>
      <c r="S224">
        <f>ROUND((Source!FX85/100)*((ROUND(Source!AF85*Source!I85, 0)+ROUND(Source!AE85*Source!I85, 0))), 0)</f>
        <v>0</v>
      </c>
      <c r="T224">
        <f>Source!X85</f>
        <v>0</v>
      </c>
      <c r="U224">
        <f>ROUND((Source!FY85/100)*((ROUND(Source!AF85*Source!I85, 0)+ROUND(Source!AE85*Source!I85, 0))), 0)</f>
        <v>0</v>
      </c>
      <c r="V224">
        <f>Source!Y85</f>
        <v>0</v>
      </c>
    </row>
    <row r="225" spans="1:26" ht="14.4">
      <c r="A225" s="39"/>
      <c r="B225" s="39"/>
      <c r="C225" s="40"/>
      <c r="D225" s="41" t="s">
        <v>969</v>
      </c>
      <c r="E225" s="42"/>
      <c r="F225" s="43"/>
      <c r="G225" s="44">
        <f>Source!AL85</f>
        <v>22.1</v>
      </c>
      <c r="H225" s="45" t="str">
        <f>Source!DD85</f>
        <v/>
      </c>
      <c r="I225" s="46">
        <f>ROUND(Source!AC85*Source!I85, 0)</f>
        <v>11</v>
      </c>
      <c r="J225" s="45"/>
      <c r="K225" s="45">
        <f>IF(Source!BC85&lt;&gt; 0, Source!BC85, 1)</f>
        <v>4.21</v>
      </c>
      <c r="L225" s="46">
        <f>Source!P85</f>
        <v>48</v>
      </c>
      <c r="M225" s="52"/>
    </row>
    <row r="226" spans="1:26" ht="13.8">
      <c r="H226" s="93">
        <f>ROUND(Source!AC85*Source!I85, 0)+ROUND(Source!AF85*Source!I85, 0)+ROUND(Source!AD85*Source!I85, 0)</f>
        <v>11</v>
      </c>
      <c r="I226" s="93"/>
      <c r="K226" s="93">
        <f>Source!O85</f>
        <v>48</v>
      </c>
      <c r="L226" s="93"/>
      <c r="M226" s="38">
        <f>Source!U85</f>
        <v>0</v>
      </c>
      <c r="O226" s="37">
        <f>H226</f>
        <v>11</v>
      </c>
      <c r="P226" s="37">
        <f>K226</f>
        <v>48</v>
      </c>
      <c r="Q226" s="48">
        <f>M226</f>
        <v>0</v>
      </c>
      <c r="W226">
        <f>IF(Source!BI85&lt;=1,H226, 0)</f>
        <v>11</v>
      </c>
      <c r="X226">
        <f>IF(Source!BI85=2,H226, 0)</f>
        <v>0</v>
      </c>
      <c r="Y226">
        <f>IF(Source!BI85=3,H226, 0)</f>
        <v>0</v>
      </c>
      <c r="Z226">
        <f>IF(Source!BI85=4,H226, 0)</f>
        <v>0</v>
      </c>
    </row>
    <row r="227" spans="1:26" ht="72">
      <c r="A227" s="27">
        <v>24</v>
      </c>
      <c r="B227" s="27" t="str">
        <f>Source!E86</f>
        <v>23</v>
      </c>
      <c r="C227" s="28" t="str">
        <f>Source!F86</f>
        <v>15-01-047-16</v>
      </c>
      <c r="D227" s="25" t="str">
        <f>Source!G86</f>
        <v>Устройство потолков реечных алюминиевых</v>
      </c>
      <c r="E227" s="30" t="str">
        <f>Source!H86</f>
        <v>100 М2 ПОВЕРХНОСТИ ОБЛИЦОВКИ</v>
      </c>
      <c r="F227" s="10">
        <f>Source!I86</f>
        <v>3.9399999999999998E-2</v>
      </c>
      <c r="G227" s="32">
        <f>IF(Source!AK86&lt;&gt; 0, Source!AK86,Source!AL86 + Source!AM86 + Source!AO86)</f>
        <v>29790.85</v>
      </c>
      <c r="H227" s="31"/>
      <c r="I227" s="33"/>
      <c r="J227" s="31" t="str">
        <f>Source!BO86</f>
        <v>15-01-047-16</v>
      </c>
      <c r="K227" s="31"/>
      <c r="L227" s="33"/>
      <c r="M227" s="34"/>
      <c r="S227">
        <f>ROUND((Source!FX86/100)*((ROUND(Source!AF86*Source!I86, 0)+ROUND(Source!AE86*Source!I86, 0))), 0)</f>
        <v>28</v>
      </c>
      <c r="T227">
        <f>Source!X86</f>
        <v>597</v>
      </c>
      <c r="U227">
        <f>ROUND((Source!FY86/100)*((ROUND(Source!AF86*Source!I86, 0)+ROUND(Source!AE86*Source!I86, 0))), 0)</f>
        <v>18</v>
      </c>
      <c r="V227">
        <f>Source!Y86</f>
        <v>380</v>
      </c>
    </row>
    <row r="228" spans="1:26">
      <c r="D228" s="49" t="str">
        <f>"Объем: "&amp;Source!I86&amp;"=3,94/"&amp;"100"</f>
        <v>Объем: 0,0394=3,94/100</v>
      </c>
    </row>
    <row r="229" spans="1:26" ht="14.4">
      <c r="A229" s="27"/>
      <c r="B229" s="27"/>
      <c r="C229" s="28"/>
      <c r="D229" s="25" t="s">
        <v>962</v>
      </c>
      <c r="E229" s="30"/>
      <c r="F229" s="10"/>
      <c r="G229" s="32">
        <f>Source!AO86</f>
        <v>952.48</v>
      </c>
      <c r="H229" s="31" t="str">
        <f>Source!DG86</f>
        <v>)*1,15</v>
      </c>
      <c r="I229" s="33">
        <f>ROUND(Source!AF86*Source!I86, 0)</f>
        <v>43</v>
      </c>
      <c r="J229" s="31"/>
      <c r="K229" s="31">
        <f>IF(Source!BA86&lt;&gt; 0, Source!BA86, 1)</f>
        <v>20.88</v>
      </c>
      <c r="L229" s="33">
        <f>Source!S86</f>
        <v>901</v>
      </c>
      <c r="M229" s="34"/>
      <c r="R229">
        <f>I229</f>
        <v>43</v>
      </c>
    </row>
    <row r="230" spans="1:26" ht="14.4">
      <c r="A230" s="27"/>
      <c r="B230" s="27"/>
      <c r="C230" s="28"/>
      <c r="D230" s="25" t="s">
        <v>125</v>
      </c>
      <c r="E230" s="30"/>
      <c r="F230" s="10"/>
      <c r="G230" s="32">
        <f>Source!AM86</f>
        <v>166.67</v>
      </c>
      <c r="H230" s="31" t="str">
        <f>Source!DE86</f>
        <v>)*1,25</v>
      </c>
      <c r="I230" s="33">
        <f>ROUND(Source!AD86*Source!I86, 0)</f>
        <v>8</v>
      </c>
      <c r="J230" s="31"/>
      <c r="K230" s="31">
        <f>IF(Source!BB86&lt;&gt; 0, Source!BB86, 1)</f>
        <v>5.21</v>
      </c>
      <c r="L230" s="33">
        <f>Source!Q86</f>
        <v>43</v>
      </c>
      <c r="M230" s="34"/>
    </row>
    <row r="231" spans="1:26" ht="14.4">
      <c r="A231" s="27"/>
      <c r="B231" s="27"/>
      <c r="C231" s="28"/>
      <c r="D231" s="25" t="s">
        <v>963</v>
      </c>
      <c r="E231" s="30"/>
      <c r="F231" s="10"/>
      <c r="G231" s="32">
        <f>Source!AN86</f>
        <v>3.03</v>
      </c>
      <c r="H231" s="31" t="str">
        <f>Source!DF86</f>
        <v>)*1,25</v>
      </c>
      <c r="I231" s="33">
        <f>ROUND(Source!AE86*Source!I86, 0)</f>
        <v>0</v>
      </c>
      <c r="J231" s="31"/>
      <c r="K231" s="31">
        <f>IF(Source!BS86&lt;&gt; 0, Source!BS86, 1)</f>
        <v>20.88</v>
      </c>
      <c r="L231" s="33">
        <f>Source!R86</f>
        <v>3</v>
      </c>
      <c r="M231" s="34"/>
      <c r="R231">
        <f>I231</f>
        <v>0</v>
      </c>
    </row>
    <row r="232" spans="1:26" ht="14.4">
      <c r="A232" s="27"/>
      <c r="B232" s="27"/>
      <c r="C232" s="28"/>
      <c r="D232" s="25" t="s">
        <v>969</v>
      </c>
      <c r="E232" s="30"/>
      <c r="F232" s="10"/>
      <c r="G232" s="32">
        <f>Source!AL86</f>
        <v>28671.7</v>
      </c>
      <c r="H232" s="31" t="str">
        <f>Source!DD86</f>
        <v/>
      </c>
      <c r="I232" s="33">
        <f>ROUND(Source!AC86*Source!I86, 0)</f>
        <v>1130</v>
      </c>
      <c r="J232" s="31"/>
      <c r="K232" s="31">
        <f>IF(Source!BC86&lt;&gt; 0, Source!BC86, 1)</f>
        <v>4.66</v>
      </c>
      <c r="L232" s="33">
        <f>Source!P86</f>
        <v>5264</v>
      </c>
      <c r="M232" s="34"/>
    </row>
    <row r="233" spans="1:26" ht="14.4">
      <c r="A233" s="27"/>
      <c r="B233" s="27"/>
      <c r="C233" s="28"/>
      <c r="D233" s="25" t="s">
        <v>964</v>
      </c>
      <c r="E233" s="30" t="s">
        <v>965</v>
      </c>
      <c r="F233" s="10">
        <f>Source!BZ86</f>
        <v>105</v>
      </c>
      <c r="G233" s="92" t="str">
        <f>CONCATENATE(" )", Source!DL86, Source!FT86, "=", Source!FX86)</f>
        <v xml:space="preserve"> )*0,9*0,7=66,15</v>
      </c>
      <c r="H233" s="90"/>
      <c r="I233" s="33">
        <f>SUM(S227:S235)</f>
        <v>28</v>
      </c>
      <c r="J233" s="35"/>
      <c r="K233" s="25">
        <f>Source!AT86</f>
        <v>66</v>
      </c>
      <c r="L233" s="33">
        <f>SUM(T227:T235)</f>
        <v>597</v>
      </c>
      <c r="M233" s="34"/>
    </row>
    <row r="234" spans="1:26" ht="14.4">
      <c r="A234" s="27"/>
      <c r="B234" s="27"/>
      <c r="C234" s="28"/>
      <c r="D234" s="25" t="s">
        <v>966</v>
      </c>
      <c r="E234" s="30" t="s">
        <v>965</v>
      </c>
      <c r="F234" s="10">
        <f>Source!CA86</f>
        <v>55</v>
      </c>
      <c r="G234" s="92" t="str">
        <f>CONCATENATE(" )", Source!DM86, Source!FU86, "=", Source!FY86)</f>
        <v xml:space="preserve"> )*0,85*0,9=42,075</v>
      </c>
      <c r="H234" s="90"/>
      <c r="I234" s="33">
        <f>SUM(U227:U235)</f>
        <v>18</v>
      </c>
      <c r="J234" s="35"/>
      <c r="K234" s="25">
        <f>Source!AU86</f>
        <v>42</v>
      </c>
      <c r="L234" s="33">
        <f>SUM(V227:V235)</f>
        <v>380</v>
      </c>
      <c r="M234" s="34"/>
    </row>
    <row r="235" spans="1:26" ht="14.4">
      <c r="A235" s="39"/>
      <c r="B235" s="39"/>
      <c r="C235" s="40"/>
      <c r="D235" s="41" t="s">
        <v>967</v>
      </c>
      <c r="E235" s="42" t="s">
        <v>968</v>
      </c>
      <c r="F235" s="43">
        <f>Source!AQ86</f>
        <v>108.36</v>
      </c>
      <c r="G235" s="44"/>
      <c r="H235" s="45" t="str">
        <f>Source!DI86</f>
        <v>)*1,15</v>
      </c>
      <c r="I235" s="46"/>
      <c r="J235" s="45"/>
      <c r="K235" s="45"/>
      <c r="L235" s="46"/>
      <c r="M235" s="47">
        <f>Source!U86</f>
        <v>4.9097915999999993</v>
      </c>
    </row>
    <row r="236" spans="1:26" ht="13.8">
      <c r="H236" s="93">
        <f>ROUND(Source!AC86*Source!I86, 0)+ROUND(Source!AF86*Source!I86, 0)+ROUND(Source!AD86*Source!I86, 0)+SUM(I233:I234)</f>
        <v>1227</v>
      </c>
      <c r="I236" s="93"/>
      <c r="K236" s="93">
        <f>Source!O86+SUM(L233:L234)</f>
        <v>7185</v>
      </c>
      <c r="L236" s="93"/>
      <c r="M236" s="38">
        <f>Source!U86</f>
        <v>4.9097915999999993</v>
      </c>
      <c r="O236" s="37">
        <f>H236</f>
        <v>1227</v>
      </c>
      <c r="P236" s="37">
        <f>K236</f>
        <v>7185</v>
      </c>
      <c r="Q236" s="48">
        <f>M236</f>
        <v>4.9097915999999993</v>
      </c>
      <c r="W236">
        <f>IF(Source!BI86&lt;=1,H236, 0)</f>
        <v>1227</v>
      </c>
      <c r="X236">
        <f>IF(Source!BI86=2,H236, 0)</f>
        <v>0</v>
      </c>
      <c r="Y236">
        <f>IF(Source!BI86=3,H236, 0)</f>
        <v>0</v>
      </c>
      <c r="Z236">
        <f>IF(Source!BI86=4,H236, 0)</f>
        <v>0</v>
      </c>
    </row>
    <row r="237" spans="1:26" ht="14.4">
      <c r="A237" s="27">
        <v>25</v>
      </c>
      <c r="B237" s="27" t="str">
        <f>Source!E87</f>
        <v>24</v>
      </c>
      <c r="C237" s="28" t="str">
        <f>Source!F87</f>
        <v>206-1338</v>
      </c>
      <c r="D237" s="25" t="str">
        <f>Source!G87</f>
        <v>Уголок декоративный (пристенный)</v>
      </c>
      <c r="E237" s="30" t="str">
        <f>Source!H87</f>
        <v>м</v>
      </c>
      <c r="F237" s="10">
        <f>Source!I87</f>
        <v>8.14</v>
      </c>
      <c r="G237" s="32">
        <f>IF(Source!AK87&lt;&gt; 0, Source!AK87,Source!AL87 + Source!AM87 + Source!AO87)</f>
        <v>6.38</v>
      </c>
      <c r="H237" s="31"/>
      <c r="I237" s="33"/>
      <c r="J237" s="31" t="str">
        <f>Source!BO87</f>
        <v>206-1338</v>
      </c>
      <c r="K237" s="31"/>
      <c r="L237" s="33"/>
      <c r="M237" s="34"/>
      <c r="S237">
        <f>ROUND((Source!FX87/100)*((ROUND(Source!AF87*Source!I87, 0)+ROUND(Source!AE87*Source!I87, 0))), 0)</f>
        <v>0</v>
      </c>
      <c r="T237">
        <f>Source!X87</f>
        <v>0</v>
      </c>
      <c r="U237">
        <f>ROUND((Source!FY87/100)*((ROUND(Source!AF87*Source!I87, 0)+ROUND(Source!AE87*Source!I87, 0))), 0)</f>
        <v>0</v>
      </c>
      <c r="V237">
        <f>Source!Y87</f>
        <v>0</v>
      </c>
    </row>
    <row r="238" spans="1:26" ht="14.4">
      <c r="A238" s="39"/>
      <c r="B238" s="39"/>
      <c r="C238" s="40"/>
      <c r="D238" s="41" t="s">
        <v>969</v>
      </c>
      <c r="E238" s="42"/>
      <c r="F238" s="43"/>
      <c r="G238" s="44">
        <f>Source!AL87</f>
        <v>6.38</v>
      </c>
      <c r="H238" s="45" t="str">
        <f>Source!DD87</f>
        <v/>
      </c>
      <c r="I238" s="46">
        <f>ROUND(Source!AC87*Source!I87, 0)</f>
        <v>52</v>
      </c>
      <c r="J238" s="45"/>
      <c r="K238" s="45">
        <f>IF(Source!BC87&lt;&gt; 0, Source!BC87, 1)</f>
        <v>5</v>
      </c>
      <c r="L238" s="46">
        <f>Source!P87</f>
        <v>260</v>
      </c>
      <c r="M238" s="52"/>
    </row>
    <row r="239" spans="1:26" ht="13.8">
      <c r="H239" s="93">
        <f>ROUND(Source!AC87*Source!I87, 0)+ROUND(Source!AF87*Source!I87, 0)+ROUND(Source!AD87*Source!I87, 0)</f>
        <v>52</v>
      </c>
      <c r="I239" s="93"/>
      <c r="K239" s="93">
        <f>Source!O87</f>
        <v>260</v>
      </c>
      <c r="L239" s="93"/>
      <c r="M239" s="38">
        <f>Source!U87</f>
        <v>0</v>
      </c>
      <c r="O239" s="37">
        <f>H239</f>
        <v>52</v>
      </c>
      <c r="P239" s="37">
        <f>K239</f>
        <v>260</v>
      </c>
      <c r="Q239" s="48">
        <f>M239</f>
        <v>0</v>
      </c>
      <c r="W239">
        <f>IF(Source!BI87&lt;=1,H239, 0)</f>
        <v>52</v>
      </c>
      <c r="X239">
        <f>IF(Source!BI87=2,H239, 0)</f>
        <v>0</v>
      </c>
      <c r="Y239">
        <f>IF(Source!BI87=3,H239, 0)</f>
        <v>0</v>
      </c>
      <c r="Z239">
        <f>IF(Source!BI87=4,H239, 0)</f>
        <v>0</v>
      </c>
    </row>
    <row r="240" spans="1:26" ht="55.8">
      <c r="A240" s="27">
        <v>26</v>
      </c>
      <c r="B240" s="27" t="str">
        <f>Source!E88</f>
        <v>25</v>
      </c>
      <c r="C240" s="28" t="str">
        <f>Source!F88</f>
        <v>м08-03-593-6</v>
      </c>
      <c r="D240" s="25" t="str">
        <f>Source!G88</f>
        <v>Светильник потолочный или настенный с креплением винтами или болтами для помещений с нормальными условиями среды, одноламповый</v>
      </c>
      <c r="E240" s="30" t="str">
        <f>Source!H88</f>
        <v>100 шт.</v>
      </c>
      <c r="F240" s="10">
        <f>Source!I88</f>
        <v>0.02</v>
      </c>
      <c r="G240" s="32">
        <f>IF(Source!AK88&lt;&gt; 0, Source!AK88,Source!AL88 + Source!AM88 + Source!AO88)</f>
        <v>1415.25</v>
      </c>
      <c r="H240" s="31"/>
      <c r="I240" s="33"/>
      <c r="J240" s="31" t="str">
        <f>Source!BO88</f>
        <v>м08-03-593-6</v>
      </c>
      <c r="K240" s="31"/>
      <c r="L240" s="33"/>
      <c r="M240" s="34"/>
      <c r="S240">
        <f>ROUND((Source!FX88/100)*((ROUND(Source!AF88*Source!I88, 0)+ROUND(Source!AE88*Source!I88, 0))), 0)</f>
        <v>9</v>
      </c>
      <c r="T240">
        <f>Source!X88</f>
        <v>186</v>
      </c>
      <c r="U240">
        <f>ROUND((Source!FY88/100)*((ROUND(Source!AF88*Source!I88, 0)+ROUND(Source!AE88*Source!I88, 0))), 0)</f>
        <v>8</v>
      </c>
      <c r="V240">
        <f>Source!Y88</f>
        <v>163</v>
      </c>
    </row>
    <row r="241" spans="1:26">
      <c r="D241" s="49" t="str">
        <f>"Объем: "&amp;Source!I88&amp;"=2/"&amp;"100"</f>
        <v>Объем: 0,02=2/100</v>
      </c>
    </row>
    <row r="242" spans="1:26" ht="14.4">
      <c r="A242" s="27"/>
      <c r="B242" s="27"/>
      <c r="C242" s="28"/>
      <c r="D242" s="25" t="s">
        <v>962</v>
      </c>
      <c r="E242" s="30"/>
      <c r="F242" s="10"/>
      <c r="G242" s="32">
        <f>Source!AO88</f>
        <v>654.83000000000004</v>
      </c>
      <c r="H242" s="31" t="str">
        <f>Source!DG88</f>
        <v/>
      </c>
      <c r="I242" s="33">
        <f>ROUND(Source!AF88*Source!I88, 0)</f>
        <v>13</v>
      </c>
      <c r="J242" s="31"/>
      <c r="K242" s="31">
        <f>IF(Source!BA88&lt;&gt; 0, Source!BA88, 1)</f>
        <v>20.88</v>
      </c>
      <c r="L242" s="33">
        <f>Source!S88</f>
        <v>273</v>
      </c>
      <c r="M242" s="34"/>
      <c r="R242">
        <f>I242</f>
        <v>13</v>
      </c>
    </row>
    <row r="243" spans="1:26" ht="14.4">
      <c r="A243" s="27"/>
      <c r="B243" s="27"/>
      <c r="C243" s="28"/>
      <c r="D243" s="25" t="s">
        <v>125</v>
      </c>
      <c r="E243" s="30"/>
      <c r="F243" s="10"/>
      <c r="G243" s="32">
        <f>Source!AM88</f>
        <v>236.96</v>
      </c>
      <c r="H243" s="31" t="str">
        <f>Source!DE88</f>
        <v/>
      </c>
      <c r="I243" s="33">
        <f>ROUND(Source!AD88*Source!I88, 0)</f>
        <v>5</v>
      </c>
      <c r="J243" s="31"/>
      <c r="K243" s="31">
        <f>IF(Source!BB88&lt;&gt; 0, Source!BB88, 1)</f>
        <v>7.18</v>
      </c>
      <c r="L243" s="33">
        <f>Source!Q88</f>
        <v>34</v>
      </c>
      <c r="M243" s="34"/>
    </row>
    <row r="244" spans="1:26" ht="14.4">
      <c r="A244" s="27"/>
      <c r="B244" s="27"/>
      <c r="C244" s="28"/>
      <c r="D244" s="25" t="s">
        <v>963</v>
      </c>
      <c r="E244" s="30"/>
      <c r="F244" s="10"/>
      <c r="G244" s="32">
        <f>Source!AN88</f>
        <v>10.65</v>
      </c>
      <c r="H244" s="31" t="str">
        <f>Source!DF88</f>
        <v/>
      </c>
      <c r="I244" s="33">
        <f>ROUND(Source!AE88*Source!I88, 0)</f>
        <v>0</v>
      </c>
      <c r="J244" s="31"/>
      <c r="K244" s="31">
        <f>IF(Source!BS88&lt;&gt; 0, Source!BS88, 1)</f>
        <v>20.88</v>
      </c>
      <c r="L244" s="33">
        <f>Source!R88</f>
        <v>4</v>
      </c>
      <c r="M244" s="34"/>
      <c r="R244">
        <f>I244</f>
        <v>0</v>
      </c>
    </row>
    <row r="245" spans="1:26" ht="14.4">
      <c r="A245" s="27"/>
      <c r="B245" s="27"/>
      <c r="C245" s="28"/>
      <c r="D245" s="25" t="s">
        <v>969</v>
      </c>
      <c r="E245" s="30"/>
      <c r="F245" s="10"/>
      <c r="G245" s="32">
        <f>Source!AL88</f>
        <v>523.46</v>
      </c>
      <c r="H245" s="31" t="str">
        <f>Source!DD88</f>
        <v/>
      </c>
      <c r="I245" s="33">
        <f>ROUND(Source!AC88*Source!I88, 0)</f>
        <v>10</v>
      </c>
      <c r="J245" s="31"/>
      <c r="K245" s="31">
        <f>IF(Source!BC88&lt;&gt; 0, Source!BC88, 1)</f>
        <v>3.13</v>
      </c>
      <c r="L245" s="33">
        <f>Source!P88</f>
        <v>33</v>
      </c>
      <c r="M245" s="34"/>
    </row>
    <row r="246" spans="1:26" ht="14.4">
      <c r="A246" s="27"/>
      <c r="B246" s="27"/>
      <c r="C246" s="28"/>
      <c r="D246" s="25" t="s">
        <v>964</v>
      </c>
      <c r="E246" s="30" t="s">
        <v>965</v>
      </c>
      <c r="F246" s="10">
        <f>Source!BZ88</f>
        <v>95</v>
      </c>
      <c r="G246" s="92" t="str">
        <f>CONCATENATE(" )", Source!DL88, Source!FT88, "=", Source!FX88)</f>
        <v xml:space="preserve"> )*0,7=66,5</v>
      </c>
      <c r="H246" s="90"/>
      <c r="I246" s="33">
        <f>SUM(S240:S248)</f>
        <v>9</v>
      </c>
      <c r="J246" s="35"/>
      <c r="K246" s="25">
        <f>Source!AT88</f>
        <v>67</v>
      </c>
      <c r="L246" s="33">
        <f>SUM(T240:T248)</f>
        <v>186</v>
      </c>
      <c r="M246" s="34"/>
    </row>
    <row r="247" spans="1:26" ht="14.4">
      <c r="A247" s="27"/>
      <c r="B247" s="27"/>
      <c r="C247" s="28"/>
      <c r="D247" s="25" t="s">
        <v>966</v>
      </c>
      <c r="E247" s="30" t="s">
        <v>965</v>
      </c>
      <c r="F247" s="10">
        <f>Source!CA88</f>
        <v>65</v>
      </c>
      <c r="G247" s="92" t="str">
        <f>CONCATENATE(" )", Source!DM88, Source!FU88, "=", Source!FY88)</f>
        <v xml:space="preserve"> )*0,9=58,5</v>
      </c>
      <c r="H247" s="90"/>
      <c r="I247" s="33">
        <f>SUM(U240:U248)</f>
        <v>8</v>
      </c>
      <c r="J247" s="35"/>
      <c r="K247" s="25">
        <f>Source!AU88</f>
        <v>59</v>
      </c>
      <c r="L247" s="33">
        <f>SUM(V240:V248)</f>
        <v>163</v>
      </c>
      <c r="M247" s="34"/>
    </row>
    <row r="248" spans="1:26" ht="14.4">
      <c r="A248" s="39"/>
      <c r="B248" s="39"/>
      <c r="C248" s="40"/>
      <c r="D248" s="41" t="s">
        <v>967</v>
      </c>
      <c r="E248" s="42" t="s">
        <v>968</v>
      </c>
      <c r="F248" s="43">
        <f>Source!AQ88</f>
        <v>70.64</v>
      </c>
      <c r="G248" s="44"/>
      <c r="H248" s="45" t="str">
        <f>Source!DI88</f>
        <v/>
      </c>
      <c r="I248" s="46"/>
      <c r="J248" s="45"/>
      <c r="K248" s="45"/>
      <c r="L248" s="46"/>
      <c r="M248" s="47">
        <f>Source!U88</f>
        <v>1.4128000000000001</v>
      </c>
    </row>
    <row r="249" spans="1:26" ht="13.8">
      <c r="H249" s="93">
        <f>ROUND(Source!AC88*Source!I88, 0)+ROUND(Source!AF88*Source!I88, 0)+ROUND(Source!AD88*Source!I88, 0)+SUM(I246:I247)</f>
        <v>45</v>
      </c>
      <c r="I249" s="93"/>
      <c r="K249" s="93">
        <f>Source!O88+SUM(L246:L247)</f>
        <v>689</v>
      </c>
      <c r="L249" s="93"/>
      <c r="M249" s="38">
        <f>Source!U88</f>
        <v>1.4128000000000001</v>
      </c>
      <c r="O249" s="37">
        <f>H249</f>
        <v>45</v>
      </c>
      <c r="P249" s="37">
        <f>K249</f>
        <v>689</v>
      </c>
      <c r="Q249" s="48">
        <f>M249</f>
        <v>1.4128000000000001</v>
      </c>
      <c r="W249">
        <f>IF(Source!BI88&lt;=1,H249, 0)</f>
        <v>0</v>
      </c>
      <c r="X249">
        <f>IF(Source!BI88=2,H249, 0)</f>
        <v>45</v>
      </c>
      <c r="Y249">
        <f>IF(Source!BI88=3,H249, 0)</f>
        <v>0</v>
      </c>
      <c r="Z249">
        <f>IF(Source!BI88=4,H249, 0)</f>
        <v>0</v>
      </c>
    </row>
    <row r="250" spans="1:26" ht="28.2">
      <c r="A250" s="27">
        <v>27</v>
      </c>
      <c r="B250" s="27" t="str">
        <f>Source!E89</f>
        <v>26</v>
      </c>
      <c r="C250" s="28" t="str">
        <f>Source!F89</f>
        <v>509-0765</v>
      </c>
      <c r="D250" s="25" t="str">
        <f>Source!G89</f>
        <v>Светильники потолочные НПП 03-100-001-МУ3</v>
      </c>
      <c r="E250" s="30" t="str">
        <f>Source!H89</f>
        <v>шт.</v>
      </c>
      <c r="F250" s="10">
        <f>Source!I89</f>
        <v>2</v>
      </c>
      <c r="G250" s="32">
        <f>IF(Source!AK89&lt;&gt; 0, Source!AK89,Source!AL89 + Source!AM89 + Source!AO89)</f>
        <v>147.30000000000001</v>
      </c>
      <c r="H250" s="31"/>
      <c r="I250" s="33"/>
      <c r="J250" s="31" t="str">
        <f>Source!BO89</f>
        <v>509-0765</v>
      </c>
      <c r="K250" s="31"/>
      <c r="L250" s="33"/>
      <c r="M250" s="34"/>
      <c r="S250">
        <f>ROUND((Source!FX89/100)*((ROUND(Source!AF89*Source!I89, 0)+ROUND(Source!AE89*Source!I89, 0))), 0)</f>
        <v>0</v>
      </c>
      <c r="T250">
        <f>Source!X89</f>
        <v>0</v>
      </c>
      <c r="U250">
        <f>ROUND((Source!FY89/100)*((ROUND(Source!AF89*Source!I89, 0)+ROUND(Source!AE89*Source!I89, 0))), 0)</f>
        <v>0</v>
      </c>
      <c r="V250">
        <f>Source!Y89</f>
        <v>0</v>
      </c>
    </row>
    <row r="251" spans="1:26" ht="14.4">
      <c r="A251" s="39"/>
      <c r="B251" s="39"/>
      <c r="C251" s="40"/>
      <c r="D251" s="41" t="s">
        <v>969</v>
      </c>
      <c r="E251" s="42"/>
      <c r="F251" s="43"/>
      <c r="G251" s="44">
        <f>Source!AL89</f>
        <v>147.30000000000001</v>
      </c>
      <c r="H251" s="45" t="str">
        <f>Source!DD89</f>
        <v/>
      </c>
      <c r="I251" s="46">
        <f>ROUND(Source!AC89*Source!I89, 0)</f>
        <v>295</v>
      </c>
      <c r="J251" s="45"/>
      <c r="K251" s="45">
        <f>IF(Source!BC89&lt;&gt; 0, Source!BC89, 1)</f>
        <v>4.96</v>
      </c>
      <c r="L251" s="46">
        <f>Source!P89</f>
        <v>1461</v>
      </c>
      <c r="M251" s="52"/>
    </row>
    <row r="252" spans="1:26" ht="13.8">
      <c r="H252" s="93">
        <f>ROUND(Source!AC89*Source!I89, 0)+ROUND(Source!AF89*Source!I89, 0)+ROUND(Source!AD89*Source!I89, 0)</f>
        <v>295</v>
      </c>
      <c r="I252" s="93"/>
      <c r="K252" s="93">
        <f>Source!O89</f>
        <v>1461</v>
      </c>
      <c r="L252" s="93"/>
      <c r="M252" s="38">
        <f>Source!U89</f>
        <v>0</v>
      </c>
      <c r="O252" s="37">
        <f>H252</f>
        <v>295</v>
      </c>
      <c r="P252" s="37">
        <f>K252</f>
        <v>1461</v>
      </c>
      <c r="Q252" s="48">
        <f>M252</f>
        <v>0</v>
      </c>
      <c r="W252">
        <f>IF(Source!BI89&lt;=1,H252, 0)</f>
        <v>0</v>
      </c>
      <c r="X252">
        <f>IF(Source!BI89=2,H252, 0)</f>
        <v>295</v>
      </c>
      <c r="Y252">
        <f>IF(Source!BI89=3,H252, 0)</f>
        <v>0</v>
      </c>
      <c r="Z252">
        <f>IF(Source!BI89=4,H252, 0)</f>
        <v>0</v>
      </c>
    </row>
    <row r="253" spans="1:26" ht="28.2">
      <c r="A253" s="27">
        <v>28</v>
      </c>
      <c r="B253" s="27" t="str">
        <f>Source!E90</f>
        <v>27</v>
      </c>
      <c r="C253" s="28" t="str">
        <f>Source!F90</f>
        <v>17-01-001-14</v>
      </c>
      <c r="D253" s="25" t="str">
        <f>Source!G90</f>
        <v>Установка умывальников одиночных с подводкой холодной и горячей воды</v>
      </c>
      <c r="E253" s="30" t="str">
        <f>Source!H90</f>
        <v>10 компл.</v>
      </c>
      <c r="F253" s="10">
        <f>Source!I90</f>
        <v>0.1</v>
      </c>
      <c r="G253" s="32">
        <f>IF(Source!AK90&lt;&gt; 0, Source!AK90,Source!AL90 + Source!AM90 + Source!AO90)</f>
        <v>2676.2</v>
      </c>
      <c r="H253" s="31"/>
      <c r="I253" s="33"/>
      <c r="J253" s="31" t="str">
        <f>Source!BO90</f>
        <v>17-01-001-14</v>
      </c>
      <c r="K253" s="31"/>
      <c r="L253" s="33"/>
      <c r="M253" s="34"/>
      <c r="S253">
        <f>ROUND((Source!FX90/100)*((ROUND(Source!AF90*Source!I90, 0)+ROUND(Source!AE90*Source!I90, 0))), 0)</f>
        <v>18</v>
      </c>
      <c r="T253">
        <f>Source!X90</f>
        <v>382</v>
      </c>
      <c r="U253">
        <f>ROUND((Source!FY90/100)*((ROUND(Source!AF90*Source!I90, 0)+ROUND(Source!AE90*Source!I90, 0))), 0)</f>
        <v>14</v>
      </c>
      <c r="V253">
        <f>Source!Y90</f>
        <v>297</v>
      </c>
    </row>
    <row r="254" spans="1:26">
      <c r="D254" s="49" t="str">
        <f>"Объем: "&amp;Source!I90&amp;"=1/"&amp;"10"</f>
        <v>Объем: 0,1=1/10</v>
      </c>
    </row>
    <row r="255" spans="1:26" ht="14.4">
      <c r="A255" s="27"/>
      <c r="B255" s="27"/>
      <c r="C255" s="28"/>
      <c r="D255" s="25" t="s">
        <v>962</v>
      </c>
      <c r="E255" s="30"/>
      <c r="F255" s="10"/>
      <c r="G255" s="32">
        <f>Source!AO90</f>
        <v>194.63</v>
      </c>
      <c r="H255" s="31" t="str">
        <f>Source!DG90</f>
        <v>)*1,15</v>
      </c>
      <c r="I255" s="33">
        <f>ROUND(Source!AF90*Source!I90, 0)</f>
        <v>22</v>
      </c>
      <c r="J255" s="31"/>
      <c r="K255" s="31">
        <f>IF(Source!BA90&lt;&gt; 0, Source!BA90, 1)</f>
        <v>20.88</v>
      </c>
      <c r="L255" s="33">
        <f>Source!S90</f>
        <v>467</v>
      </c>
      <c r="M255" s="34"/>
      <c r="R255">
        <f>I255</f>
        <v>22</v>
      </c>
    </row>
    <row r="256" spans="1:26" ht="14.4">
      <c r="A256" s="27"/>
      <c r="B256" s="27"/>
      <c r="C256" s="28"/>
      <c r="D256" s="25" t="s">
        <v>125</v>
      </c>
      <c r="E256" s="30"/>
      <c r="F256" s="10"/>
      <c r="G256" s="32">
        <f>Source!AM90</f>
        <v>24.79</v>
      </c>
      <c r="H256" s="31" t="str">
        <f>Source!DE90</f>
        <v>)*1,25</v>
      </c>
      <c r="I256" s="33">
        <f>ROUND(Source!AD90*Source!I90, 0)</f>
        <v>3</v>
      </c>
      <c r="J256" s="31"/>
      <c r="K256" s="31">
        <f>IF(Source!BB90&lt;&gt; 0, Source!BB90, 1)</f>
        <v>9.2899999999999991</v>
      </c>
      <c r="L256" s="33">
        <f>Source!Q90</f>
        <v>29</v>
      </c>
      <c r="M256" s="34"/>
    </row>
    <row r="257" spans="1:26" ht="14.4">
      <c r="A257" s="27"/>
      <c r="B257" s="27"/>
      <c r="C257" s="28"/>
      <c r="D257" s="25" t="s">
        <v>963</v>
      </c>
      <c r="E257" s="30"/>
      <c r="F257" s="10"/>
      <c r="G257" s="32">
        <f>Source!AN90</f>
        <v>1.57</v>
      </c>
      <c r="H257" s="31" t="str">
        <f>Source!DF90</f>
        <v>)*1,25</v>
      </c>
      <c r="I257" s="33">
        <f>ROUND(Source!AE90*Source!I90, 0)</f>
        <v>0</v>
      </c>
      <c r="J257" s="31"/>
      <c r="K257" s="31">
        <f>IF(Source!BS90&lt;&gt; 0, Source!BS90, 1)</f>
        <v>20.88</v>
      </c>
      <c r="L257" s="33">
        <f>Source!R90</f>
        <v>4</v>
      </c>
      <c r="M257" s="34"/>
      <c r="R257">
        <f>I257</f>
        <v>0</v>
      </c>
    </row>
    <row r="258" spans="1:26" ht="14.4">
      <c r="A258" s="27"/>
      <c r="B258" s="27"/>
      <c r="C258" s="28"/>
      <c r="D258" s="25" t="s">
        <v>964</v>
      </c>
      <c r="E258" s="30" t="s">
        <v>965</v>
      </c>
      <c r="F258" s="10">
        <f>Source!BZ90</f>
        <v>128</v>
      </c>
      <c r="G258" s="92" t="str">
        <f>CONCATENATE(" )", Source!DL90, Source!FT90, "=", Source!FX90)</f>
        <v xml:space="preserve"> )*0,9*0,7=80,64</v>
      </c>
      <c r="H258" s="90"/>
      <c r="I258" s="33">
        <f>SUM(S253:S260)</f>
        <v>18</v>
      </c>
      <c r="J258" s="35"/>
      <c r="K258" s="25">
        <f>Source!AT90</f>
        <v>81</v>
      </c>
      <c r="L258" s="33">
        <f>SUM(T253:T260)</f>
        <v>382</v>
      </c>
      <c r="M258" s="34"/>
    </row>
    <row r="259" spans="1:26" ht="14.4">
      <c r="A259" s="27"/>
      <c r="B259" s="27"/>
      <c r="C259" s="28"/>
      <c r="D259" s="25" t="s">
        <v>966</v>
      </c>
      <c r="E259" s="30" t="s">
        <v>965</v>
      </c>
      <c r="F259" s="10">
        <f>Source!CA90</f>
        <v>83</v>
      </c>
      <c r="G259" s="92" t="str">
        <f>CONCATENATE(" )", Source!DM90, Source!FU90, "=", Source!FY90)</f>
        <v xml:space="preserve"> )*0,85*0,9=63,495</v>
      </c>
      <c r="H259" s="90"/>
      <c r="I259" s="33">
        <f>SUM(U253:U260)</f>
        <v>14</v>
      </c>
      <c r="J259" s="35"/>
      <c r="K259" s="25">
        <f>Source!AU90</f>
        <v>63</v>
      </c>
      <c r="L259" s="33">
        <f>SUM(V253:V260)</f>
        <v>297</v>
      </c>
      <c r="M259" s="34"/>
    </row>
    <row r="260" spans="1:26" ht="14.4">
      <c r="A260" s="39"/>
      <c r="B260" s="39"/>
      <c r="C260" s="40"/>
      <c r="D260" s="41" t="s">
        <v>967</v>
      </c>
      <c r="E260" s="42" t="s">
        <v>968</v>
      </c>
      <c r="F260" s="43">
        <f>Source!AQ90</f>
        <v>21.65</v>
      </c>
      <c r="G260" s="44"/>
      <c r="H260" s="45" t="str">
        <f>Source!DI90</f>
        <v>)*1,15</v>
      </c>
      <c r="I260" s="46"/>
      <c r="J260" s="45"/>
      <c r="K260" s="45"/>
      <c r="L260" s="46"/>
      <c r="M260" s="47">
        <f>Source!U90</f>
        <v>2.4897499999999999</v>
      </c>
    </row>
    <row r="261" spans="1:26" ht="13.8">
      <c r="H261" s="93">
        <f>ROUND(Source!AC90*Source!I90, 0)+ROUND(Source!AF90*Source!I90, 0)+ROUND(Source!AD90*Source!I90, 0)+SUM(I258:I259)</f>
        <v>57</v>
      </c>
      <c r="I261" s="93"/>
      <c r="K261" s="93">
        <f>Source!O90+SUM(L258:L259)</f>
        <v>1175</v>
      </c>
      <c r="L261" s="93"/>
      <c r="M261" s="38">
        <f>Source!U90</f>
        <v>2.4897499999999999</v>
      </c>
      <c r="O261" s="37">
        <f>H261</f>
        <v>57</v>
      </c>
      <c r="P261" s="37">
        <f>K261</f>
        <v>1175</v>
      </c>
      <c r="Q261" s="48">
        <f>M261</f>
        <v>2.4897499999999999</v>
      </c>
      <c r="W261">
        <f>IF(Source!BI90&lt;=1,H261, 0)</f>
        <v>57</v>
      </c>
      <c r="X261">
        <f>IF(Source!BI90=2,H261, 0)</f>
        <v>0</v>
      </c>
      <c r="Y261">
        <f>IF(Source!BI90=3,H261, 0)</f>
        <v>0</v>
      </c>
      <c r="Z261">
        <f>IF(Source!BI90=4,H261, 0)</f>
        <v>0</v>
      </c>
    </row>
    <row r="262" spans="1:26" ht="28.2">
      <c r="A262" s="27">
        <v>29</v>
      </c>
      <c r="B262" s="27" t="str">
        <f>Source!E91</f>
        <v>28</v>
      </c>
      <c r="C262" s="28" t="str">
        <f>Source!F91</f>
        <v>17-01-003-1</v>
      </c>
      <c r="D262" s="25" t="str">
        <f>Source!G91</f>
        <v>Установка унитазов с бачком непосредственно присоединенным</v>
      </c>
      <c r="E262" s="30" t="str">
        <f>Source!H91</f>
        <v>10 компл.</v>
      </c>
      <c r="F262" s="10">
        <f>Source!I91</f>
        <v>0.1</v>
      </c>
      <c r="G262" s="32">
        <f>IF(Source!AK91&lt;&gt; 0, Source!AK91,Source!AL91 + Source!AM91 + Source!AO91)</f>
        <v>5748.5</v>
      </c>
      <c r="H262" s="31"/>
      <c r="I262" s="33"/>
      <c r="J262" s="31" t="str">
        <f>Source!BO91</f>
        <v>17-01-003-1</v>
      </c>
      <c r="K262" s="31"/>
      <c r="L262" s="33"/>
      <c r="M262" s="34"/>
      <c r="S262">
        <f>ROUND((Source!FX91/100)*((ROUND(Source!AF91*Source!I91, 0)+ROUND(Source!AE91*Source!I91, 0))), 0)</f>
        <v>20</v>
      </c>
      <c r="T262">
        <f>Source!X91</f>
        <v>434</v>
      </c>
      <c r="U262">
        <f>ROUND((Source!FY91/100)*((ROUND(Source!AF91*Source!I91, 0)+ROUND(Source!AE91*Source!I91, 0))), 0)</f>
        <v>16</v>
      </c>
      <c r="V262">
        <f>Source!Y91</f>
        <v>338</v>
      </c>
    </row>
    <row r="263" spans="1:26">
      <c r="D263" s="49" t="str">
        <f>"Объем: "&amp;Source!I91&amp;"=1/"&amp;"10"</f>
        <v>Объем: 0,1=1/10</v>
      </c>
    </row>
    <row r="264" spans="1:26" ht="14.4">
      <c r="A264" s="27"/>
      <c r="B264" s="27"/>
      <c r="C264" s="28"/>
      <c r="D264" s="25" t="s">
        <v>962</v>
      </c>
      <c r="E264" s="30"/>
      <c r="F264" s="10"/>
      <c r="G264" s="32">
        <f>Source!AO91</f>
        <v>219.05</v>
      </c>
      <c r="H264" s="31" t="str">
        <f>Source!DG91</f>
        <v>)*1,15</v>
      </c>
      <c r="I264" s="33">
        <f>ROUND(Source!AF91*Source!I91, 0)</f>
        <v>25</v>
      </c>
      <c r="J264" s="31"/>
      <c r="K264" s="31">
        <f>IF(Source!BA91&lt;&gt; 0, Source!BA91, 1)</f>
        <v>20.88</v>
      </c>
      <c r="L264" s="33">
        <f>Source!S91</f>
        <v>526</v>
      </c>
      <c r="M264" s="34"/>
      <c r="R264">
        <f>I264</f>
        <v>25</v>
      </c>
    </row>
    <row r="265" spans="1:26" ht="14.4">
      <c r="A265" s="27"/>
      <c r="B265" s="27"/>
      <c r="C265" s="28"/>
      <c r="D265" s="25" t="s">
        <v>125</v>
      </c>
      <c r="E265" s="30"/>
      <c r="F265" s="10"/>
      <c r="G265" s="32">
        <f>Source!AM91</f>
        <v>46.49</v>
      </c>
      <c r="H265" s="31" t="str">
        <f>Source!DE91</f>
        <v>)*1,25</v>
      </c>
      <c r="I265" s="33">
        <f>ROUND(Source!AD91*Source!I91, 0)</f>
        <v>6</v>
      </c>
      <c r="J265" s="31"/>
      <c r="K265" s="31">
        <f>IF(Source!BB91&lt;&gt; 0, Source!BB91, 1)</f>
        <v>9.3800000000000008</v>
      </c>
      <c r="L265" s="33">
        <f>Source!Q91</f>
        <v>55</v>
      </c>
      <c r="M265" s="34"/>
    </row>
    <row r="266" spans="1:26" ht="14.4">
      <c r="A266" s="27"/>
      <c r="B266" s="27"/>
      <c r="C266" s="28"/>
      <c r="D266" s="25" t="s">
        <v>963</v>
      </c>
      <c r="E266" s="30"/>
      <c r="F266" s="10"/>
      <c r="G266" s="32">
        <f>Source!AN91</f>
        <v>3.87</v>
      </c>
      <c r="H266" s="31" t="str">
        <f>Source!DF91</f>
        <v>)*1,25</v>
      </c>
      <c r="I266" s="33">
        <f>ROUND(Source!AE91*Source!I91, 0)</f>
        <v>0</v>
      </c>
      <c r="J266" s="31"/>
      <c r="K266" s="31">
        <f>IF(Source!BS91&lt;&gt; 0, Source!BS91, 1)</f>
        <v>20.88</v>
      </c>
      <c r="L266" s="33">
        <f>Source!R91</f>
        <v>10</v>
      </c>
      <c r="M266" s="34"/>
      <c r="R266">
        <f>I266</f>
        <v>0</v>
      </c>
    </row>
    <row r="267" spans="1:26" ht="14.4">
      <c r="A267" s="27"/>
      <c r="B267" s="27"/>
      <c r="C267" s="28"/>
      <c r="D267" s="25" t="s">
        <v>964</v>
      </c>
      <c r="E267" s="30" t="s">
        <v>965</v>
      </c>
      <c r="F267" s="10">
        <f>Source!BZ91</f>
        <v>128</v>
      </c>
      <c r="G267" s="92" t="str">
        <f>CONCATENATE(" )", Source!DL91, Source!FT91, "=", Source!FX91)</f>
        <v xml:space="preserve"> )*0,9*0,7=80,64</v>
      </c>
      <c r="H267" s="90"/>
      <c r="I267" s="33">
        <f>SUM(S262:S269)</f>
        <v>20</v>
      </c>
      <c r="J267" s="35"/>
      <c r="K267" s="25">
        <f>Source!AT91</f>
        <v>81</v>
      </c>
      <c r="L267" s="33">
        <f>SUM(T262:T269)</f>
        <v>434</v>
      </c>
      <c r="M267" s="34"/>
    </row>
    <row r="268" spans="1:26" ht="14.4">
      <c r="A268" s="27"/>
      <c r="B268" s="27"/>
      <c r="C268" s="28"/>
      <c r="D268" s="25" t="s">
        <v>966</v>
      </c>
      <c r="E268" s="30" t="s">
        <v>965</v>
      </c>
      <c r="F268" s="10">
        <f>Source!CA91</f>
        <v>83</v>
      </c>
      <c r="G268" s="92" t="str">
        <f>CONCATENATE(" )", Source!DM91, Source!FU91, "=", Source!FY91)</f>
        <v xml:space="preserve"> )*0,85*0,9=63,495</v>
      </c>
      <c r="H268" s="90"/>
      <c r="I268" s="33">
        <f>SUM(U262:U269)</f>
        <v>16</v>
      </c>
      <c r="J268" s="35"/>
      <c r="K268" s="25">
        <f>Source!AU91</f>
        <v>63</v>
      </c>
      <c r="L268" s="33">
        <f>SUM(V262:V269)</f>
        <v>338</v>
      </c>
      <c r="M268" s="34"/>
    </row>
    <row r="269" spans="1:26" ht="14.4">
      <c r="A269" s="39"/>
      <c r="B269" s="39"/>
      <c r="C269" s="40"/>
      <c r="D269" s="41" t="s">
        <v>967</v>
      </c>
      <c r="E269" s="42" t="s">
        <v>968</v>
      </c>
      <c r="F269" s="43">
        <f>Source!AQ91</f>
        <v>24.64</v>
      </c>
      <c r="G269" s="44"/>
      <c r="H269" s="45" t="str">
        <f>Source!DI91</f>
        <v>)*1,15</v>
      </c>
      <c r="I269" s="46"/>
      <c r="J269" s="45"/>
      <c r="K269" s="45"/>
      <c r="L269" s="46"/>
      <c r="M269" s="47">
        <f>Source!U91</f>
        <v>2.8336000000000001</v>
      </c>
    </row>
    <row r="270" spans="1:26" ht="13.8">
      <c r="H270" s="93">
        <f>ROUND(Source!AC91*Source!I91, 0)+ROUND(Source!AF91*Source!I91, 0)+ROUND(Source!AD91*Source!I91, 0)+SUM(I267:I268)</f>
        <v>67</v>
      </c>
      <c r="I270" s="93"/>
      <c r="K270" s="93">
        <f>Source!O91+SUM(L267:L268)</f>
        <v>1353</v>
      </c>
      <c r="L270" s="93"/>
      <c r="M270" s="38">
        <f>Source!U91</f>
        <v>2.8336000000000001</v>
      </c>
      <c r="O270" s="37">
        <f>H270</f>
        <v>67</v>
      </c>
      <c r="P270" s="37">
        <f>K270</f>
        <v>1353</v>
      </c>
      <c r="Q270" s="48">
        <f>M270</f>
        <v>2.8336000000000001</v>
      </c>
      <c r="W270">
        <f>IF(Source!BI91&lt;=1,H270, 0)</f>
        <v>67</v>
      </c>
      <c r="X270">
        <f>IF(Source!BI91=2,H270, 0)</f>
        <v>0</v>
      </c>
      <c r="Y270">
        <f>IF(Source!BI91=3,H270, 0)</f>
        <v>0</v>
      </c>
      <c r="Z270">
        <f>IF(Source!BI91=4,H270, 0)</f>
        <v>0</v>
      </c>
    </row>
    <row r="271" spans="1:26" ht="43.2">
      <c r="A271" s="27">
        <v>30</v>
      </c>
      <c r="B271" s="27" t="str">
        <f>Source!E92</f>
        <v>29</v>
      </c>
      <c r="C271" s="28" t="str">
        <f>Source!F92</f>
        <v>10-01-039-1</v>
      </c>
      <c r="D271" s="25" t="str">
        <f>Source!G92</f>
        <v>Установка блоков в наружных и внутренних дверных проемах в каменных стенах, площадь проема до 3 м2</v>
      </c>
      <c r="E271" s="30" t="str">
        <f>Source!H92</f>
        <v>100 М2 ПРОЕМОВ</v>
      </c>
      <c r="F271" s="10">
        <f>Source!I92</f>
        <v>2.1000000000000001E-2</v>
      </c>
      <c r="G271" s="32">
        <f>IF(Source!AK92&lt;&gt; 0, Source!AK92,Source!AL92 + Source!AM92 + Source!AO92)</f>
        <v>25859.68</v>
      </c>
      <c r="H271" s="31"/>
      <c r="I271" s="33"/>
      <c r="J271" s="31" t="str">
        <f>Source!BO92</f>
        <v>10-01-039-1</v>
      </c>
      <c r="K271" s="31"/>
      <c r="L271" s="33"/>
      <c r="M271" s="34"/>
      <c r="S271">
        <f>ROUND((Source!FX92/100)*((ROUND(Source!AF92*Source!I92, 0)+ROUND(Source!AE92*Source!I92, 0))), 0)</f>
        <v>19</v>
      </c>
      <c r="T271">
        <f>Source!X92</f>
        <v>389</v>
      </c>
      <c r="U271">
        <f>ROUND((Source!FY92/100)*((ROUND(Source!AF92*Source!I92, 0)+ROUND(Source!AE92*Source!I92, 0))), 0)</f>
        <v>13</v>
      </c>
      <c r="V271">
        <f>Source!Y92</f>
        <v>252</v>
      </c>
    </row>
    <row r="272" spans="1:26">
      <c r="D272" s="49" t="str">
        <f>"Объем: "&amp;Source!I92&amp;"=2,1/"&amp;"100"</f>
        <v>Объем: 0,021=2,1/100</v>
      </c>
    </row>
    <row r="273" spans="1:28" ht="14.4">
      <c r="A273" s="27"/>
      <c r="B273" s="27"/>
      <c r="C273" s="28"/>
      <c r="D273" s="25" t="s">
        <v>962</v>
      </c>
      <c r="E273" s="30"/>
      <c r="F273" s="10"/>
      <c r="G273" s="32">
        <f>Source!AO92</f>
        <v>894.72</v>
      </c>
      <c r="H273" s="31" t="str">
        <f>Source!DG92</f>
        <v>)*1,15</v>
      </c>
      <c r="I273" s="33">
        <f>ROUND(Source!AF92*Source!I92, 0)</f>
        <v>22</v>
      </c>
      <c r="J273" s="31"/>
      <c r="K273" s="31">
        <f>IF(Source!BA92&lt;&gt; 0, Source!BA92, 1)</f>
        <v>20.88</v>
      </c>
      <c r="L273" s="33">
        <f>Source!S92</f>
        <v>451</v>
      </c>
      <c r="M273" s="34"/>
      <c r="R273">
        <f>I273</f>
        <v>22</v>
      </c>
    </row>
    <row r="274" spans="1:28" ht="14.4">
      <c r="A274" s="27"/>
      <c r="B274" s="27"/>
      <c r="C274" s="28"/>
      <c r="D274" s="25" t="s">
        <v>125</v>
      </c>
      <c r="E274" s="30"/>
      <c r="F274" s="10"/>
      <c r="G274" s="32">
        <f>Source!AM92</f>
        <v>1450.9</v>
      </c>
      <c r="H274" s="31" t="str">
        <f>Source!DE92</f>
        <v>)*1,25</v>
      </c>
      <c r="I274" s="33">
        <f>ROUND(Source!AD92*Source!I92, 0)</f>
        <v>38</v>
      </c>
      <c r="J274" s="31"/>
      <c r="K274" s="31">
        <f>IF(Source!BB92&lt;&gt; 0, Source!BB92, 1)</f>
        <v>7.28</v>
      </c>
      <c r="L274" s="33">
        <f>Source!Q92</f>
        <v>277</v>
      </c>
      <c r="M274" s="34"/>
    </row>
    <row r="275" spans="1:28" ht="14.4">
      <c r="A275" s="27"/>
      <c r="B275" s="27"/>
      <c r="C275" s="28"/>
      <c r="D275" s="25" t="s">
        <v>963</v>
      </c>
      <c r="E275" s="30"/>
      <c r="F275" s="10"/>
      <c r="G275" s="32">
        <f>Source!AN92</f>
        <v>137.34</v>
      </c>
      <c r="H275" s="31" t="str">
        <f>Source!DF92</f>
        <v>)*1,25</v>
      </c>
      <c r="I275" s="33">
        <f>ROUND(Source!AE92*Source!I92, 0)</f>
        <v>4</v>
      </c>
      <c r="J275" s="31"/>
      <c r="K275" s="31">
        <f>IF(Source!BS92&lt;&gt; 0, Source!BS92, 1)</f>
        <v>20.88</v>
      </c>
      <c r="L275" s="33">
        <f>Source!R92</f>
        <v>75</v>
      </c>
      <c r="M275" s="34"/>
      <c r="R275">
        <f>I275</f>
        <v>4</v>
      </c>
    </row>
    <row r="276" spans="1:28" ht="14.4">
      <c r="A276" s="27"/>
      <c r="B276" s="27"/>
      <c r="C276" s="28"/>
      <c r="D276" s="25" t="s">
        <v>969</v>
      </c>
      <c r="E276" s="30"/>
      <c r="F276" s="10"/>
      <c r="G276" s="32">
        <f>Source!AL92</f>
        <v>23514.06</v>
      </c>
      <c r="H276" s="31" t="str">
        <f>Source!DD92</f>
        <v/>
      </c>
      <c r="I276" s="33">
        <f>ROUND(Source!AC92*Source!I92, 0)</f>
        <v>494</v>
      </c>
      <c r="J276" s="31"/>
      <c r="K276" s="31">
        <f>IF(Source!BC92&lt;&gt; 0, Source!BC92, 1)</f>
        <v>6.18</v>
      </c>
      <c r="L276" s="33">
        <f>Source!P92</f>
        <v>3052</v>
      </c>
      <c r="M276" s="34"/>
    </row>
    <row r="277" spans="1:28" ht="14.4">
      <c r="A277" s="27"/>
      <c r="B277" s="27"/>
      <c r="C277" s="28"/>
      <c r="D277" s="25" t="s">
        <v>964</v>
      </c>
      <c r="E277" s="30" t="s">
        <v>965</v>
      </c>
      <c r="F277" s="10">
        <f>Source!BZ92</f>
        <v>118</v>
      </c>
      <c r="G277" s="92" t="str">
        <f>CONCATENATE(" )", Source!DL92, Source!FT92, "=", Source!FX92)</f>
        <v xml:space="preserve"> )*0,9*0,7=74,34</v>
      </c>
      <c r="H277" s="90"/>
      <c r="I277" s="33">
        <f>SUM(S271:S280)</f>
        <v>19</v>
      </c>
      <c r="J277" s="35"/>
      <c r="K277" s="25">
        <f>Source!AT92</f>
        <v>74</v>
      </c>
      <c r="L277" s="33">
        <f>SUM(T271:T280)</f>
        <v>389</v>
      </c>
      <c r="M277" s="34"/>
    </row>
    <row r="278" spans="1:28" ht="14.4">
      <c r="A278" s="27"/>
      <c r="B278" s="27"/>
      <c r="C278" s="28"/>
      <c r="D278" s="25" t="s">
        <v>966</v>
      </c>
      <c r="E278" s="30" t="s">
        <v>965</v>
      </c>
      <c r="F278" s="10">
        <f>Source!CA92</f>
        <v>63</v>
      </c>
      <c r="G278" s="92" t="str">
        <f>CONCATENATE(" )", Source!DM92, Source!FU92, "=", Source!FY92)</f>
        <v xml:space="preserve"> )*0,85*0,9=48,195</v>
      </c>
      <c r="H278" s="90"/>
      <c r="I278" s="33">
        <f>SUM(U271:U280)</f>
        <v>13</v>
      </c>
      <c r="J278" s="35"/>
      <c r="K278" s="25">
        <f>Source!AU92</f>
        <v>48</v>
      </c>
      <c r="L278" s="33">
        <f>SUM(V271:V280)</f>
        <v>252</v>
      </c>
      <c r="M278" s="34"/>
    </row>
    <row r="279" spans="1:28" ht="14.4">
      <c r="A279" s="27"/>
      <c r="B279" s="27"/>
      <c r="C279" s="28"/>
      <c r="D279" s="25" t="s">
        <v>967</v>
      </c>
      <c r="E279" s="30" t="s">
        <v>968</v>
      </c>
      <c r="F279" s="10">
        <f>Source!AQ92</f>
        <v>104.28</v>
      </c>
      <c r="G279" s="32"/>
      <c r="H279" s="31" t="str">
        <f>Source!DI92</f>
        <v>)*1,15</v>
      </c>
      <c r="I279" s="33"/>
      <c r="J279" s="31"/>
      <c r="K279" s="31"/>
      <c r="L279" s="33"/>
      <c r="M279" s="36">
        <f>Source!U92</f>
        <v>2.5183620000000002</v>
      </c>
    </row>
    <row r="280" spans="1:28" ht="43.2">
      <c r="A280" s="53">
        <v>31</v>
      </c>
      <c r="B280" s="53" t="str">
        <f>Source!E93</f>
        <v>29,1</v>
      </c>
      <c r="C280" s="53" t="str">
        <f>Source!F93</f>
        <v>203-0223</v>
      </c>
      <c r="D280" s="53" t="str">
        <f>Source!G93</f>
        <v>Блоки дверные с рамочными полотнами однопольные ДН 21-10, площадь 2,05 м2; ДН 24-10, площадь 2,35 м2</v>
      </c>
      <c r="E280" s="54" t="str">
        <f>Source!H93</f>
        <v>м2</v>
      </c>
      <c r="F280" s="55">
        <f>Source!I93</f>
        <v>-2.1</v>
      </c>
      <c r="G280" s="56">
        <f>Source!AK93</f>
        <v>208.29</v>
      </c>
      <c r="H280" s="57" t="s">
        <v>3</v>
      </c>
      <c r="I280" s="58">
        <f>ROUND(Source!AC93*Source!I93, 0)+ROUND(Source!AD93*Source!I93, 0)+ROUND(Source!AF93*Source!I93, 0)</f>
        <v>-437</v>
      </c>
      <c r="J280" s="54"/>
      <c r="K280" s="54">
        <f>IF(Source!BC93&lt;&gt; 0, Source!BC93, 1)</f>
        <v>6.33</v>
      </c>
      <c r="L280" s="58">
        <f>Source!O93</f>
        <v>-2769</v>
      </c>
      <c r="M280" s="56"/>
      <c r="S280">
        <f>ROUND((Source!FX93/100)*((ROUND(Source!AF93*Source!I93, 0)+ROUND(Source!AE93*Source!I93, 0))), 0)</f>
        <v>0</v>
      </c>
      <c r="T280">
        <f>Source!X93</f>
        <v>0</v>
      </c>
      <c r="U280">
        <f>ROUND((Source!FY93/100)*((ROUND(Source!AF93*Source!I93, 0)+ROUND(Source!AE93*Source!I93, 0))), 0)</f>
        <v>0</v>
      </c>
      <c r="V280">
        <f>Source!Y93</f>
        <v>0</v>
      </c>
      <c r="Y280">
        <f>IF(Source!BI93=3,I280, 0)</f>
        <v>0</v>
      </c>
      <c r="AA280">
        <f>ROUND(Source!AC93*Source!I93, 0)+ROUND(Source!AD93*Source!I93, 0)+ROUND(Source!AF93*Source!I93, 0)</f>
        <v>-437</v>
      </c>
      <c r="AB280">
        <f>Source!O93</f>
        <v>-2769</v>
      </c>
    </row>
    <row r="281" spans="1:28" ht="13.8">
      <c r="H281" s="93">
        <f>ROUND(Source!AC92*Source!I92, 0)+ROUND(Source!AF92*Source!I92, 0)+ROUND(Source!AD92*Source!I92, 0)+SUM(I277:I278)+SUM(AA280:AA280)</f>
        <v>149</v>
      </c>
      <c r="I281" s="93"/>
      <c r="K281" s="93">
        <f>Source!O92+SUM(L277:L278)+SUM(AB280:AB280)</f>
        <v>1652</v>
      </c>
      <c r="L281" s="93"/>
      <c r="M281" s="38">
        <f>Source!U92</f>
        <v>2.5183620000000002</v>
      </c>
      <c r="O281" s="37">
        <f>H281</f>
        <v>149</v>
      </c>
      <c r="P281" s="37">
        <f>K281</f>
        <v>1652</v>
      </c>
      <c r="Q281" s="48">
        <f>M281</f>
        <v>2.5183620000000002</v>
      </c>
      <c r="W281">
        <f>IF(Source!BI92&lt;=1,H281, 0)</f>
        <v>149</v>
      </c>
      <c r="X281">
        <f>IF(Source!BI92=2,H281, 0)</f>
        <v>0</v>
      </c>
      <c r="Y281">
        <f>IF(Source!BI92=3,H281, 0)</f>
        <v>0</v>
      </c>
      <c r="Z281">
        <f>IF(Source!BI92=4,H281, 0)</f>
        <v>0</v>
      </c>
    </row>
    <row r="282" spans="1:28" ht="42">
      <c r="A282" s="27">
        <v>32</v>
      </c>
      <c r="B282" s="27" t="str">
        <f>Source!E94</f>
        <v>30</v>
      </c>
      <c r="C282" s="28" t="str">
        <f>Source!F94</f>
        <v>203-8095</v>
      </c>
      <c r="D282" s="25" t="str">
        <f>Source!G94</f>
        <v>Блоки дверные внутренние однопольные глухие шлифованные, из массива сосны, тонированные</v>
      </c>
      <c r="E282" s="30" t="str">
        <f>Source!H94</f>
        <v>м2</v>
      </c>
      <c r="F282" s="10">
        <f>Source!I94</f>
        <v>2.1</v>
      </c>
      <c r="G282" s="32">
        <f>IF(Source!AK94&lt;&gt; 0, Source!AK94,Source!AL94 + Source!AM94 + Source!AO94)</f>
        <v>1470.52</v>
      </c>
      <c r="H282" s="31"/>
      <c r="I282" s="33"/>
      <c r="J282" s="31" t="str">
        <f>Source!BO94</f>
        <v>203-8095</v>
      </c>
      <c r="K282" s="31"/>
      <c r="L282" s="33"/>
      <c r="M282" s="34"/>
      <c r="S282">
        <f>ROUND((Source!FX94/100)*((ROUND(Source!AF94*Source!I94, 0)+ROUND(Source!AE94*Source!I94, 0))), 0)</f>
        <v>0</v>
      </c>
      <c r="T282">
        <f>Source!X94</f>
        <v>0</v>
      </c>
      <c r="U282">
        <f>ROUND((Source!FY94/100)*((ROUND(Source!AF94*Source!I94, 0)+ROUND(Source!AE94*Source!I94, 0))), 0)</f>
        <v>0</v>
      </c>
      <c r="V282">
        <f>Source!Y94</f>
        <v>0</v>
      </c>
    </row>
    <row r="283" spans="1:28" ht="14.4">
      <c r="A283" s="39"/>
      <c r="B283" s="39"/>
      <c r="C283" s="40"/>
      <c r="D283" s="41" t="s">
        <v>969</v>
      </c>
      <c r="E283" s="42"/>
      <c r="F283" s="43"/>
      <c r="G283" s="44">
        <f>Source!AL94</f>
        <v>1470.52</v>
      </c>
      <c r="H283" s="45" t="str">
        <f>Source!DD94</f>
        <v/>
      </c>
      <c r="I283" s="46">
        <f>ROUND(Source!AC94*Source!I94, 0)</f>
        <v>3088</v>
      </c>
      <c r="J283" s="45"/>
      <c r="K283" s="45">
        <f>IF(Source!BC94&lt;&gt; 0, Source!BC94, 1)</f>
        <v>3.15</v>
      </c>
      <c r="L283" s="46">
        <f>Source!P94</f>
        <v>9727</v>
      </c>
      <c r="M283" s="52"/>
    </row>
    <row r="284" spans="1:28" ht="13.8">
      <c r="H284" s="93">
        <f>ROUND(Source!AC94*Source!I94, 0)+ROUND(Source!AF94*Source!I94, 0)+ROUND(Source!AD94*Source!I94, 0)</f>
        <v>3088</v>
      </c>
      <c r="I284" s="93"/>
      <c r="K284" s="93">
        <f>Source!O94</f>
        <v>9727</v>
      </c>
      <c r="L284" s="93"/>
      <c r="M284" s="38">
        <f>Source!U94</f>
        <v>0</v>
      </c>
      <c r="O284" s="37">
        <f>H284</f>
        <v>3088</v>
      </c>
      <c r="P284" s="37">
        <f>K284</f>
        <v>9727</v>
      </c>
      <c r="Q284" s="48">
        <f>M284</f>
        <v>0</v>
      </c>
      <c r="W284">
        <f>IF(Source!BI94&lt;=1,H284, 0)</f>
        <v>3088</v>
      </c>
      <c r="X284">
        <f>IF(Source!BI94=2,H284, 0)</f>
        <v>0</v>
      </c>
      <c r="Y284">
        <f>IF(Source!BI94=3,H284, 0)</f>
        <v>0</v>
      </c>
      <c r="Z284">
        <f>IF(Source!BI94=4,H284, 0)</f>
        <v>0</v>
      </c>
    </row>
    <row r="285" spans="1:28" ht="28.2">
      <c r="A285" s="27">
        <v>33</v>
      </c>
      <c r="B285" s="27" t="str">
        <f>Source!E95</f>
        <v>31</v>
      </c>
      <c r="C285" s="28" t="str">
        <f>Source!F95</f>
        <v>101-0950</v>
      </c>
      <c r="D285" s="25" t="str">
        <f>Source!G95</f>
        <v>Замок врезной оцинкованный с цилиндровым механизмом</v>
      </c>
      <c r="E285" s="30" t="str">
        <f>Source!H95</f>
        <v>компл.</v>
      </c>
      <c r="F285" s="10">
        <f>Source!I95</f>
        <v>1</v>
      </c>
      <c r="G285" s="32">
        <f>IF(Source!AK95&lt;&gt; 0, Source!AK95,Source!AL95 + Source!AM95 + Source!AO95)</f>
        <v>75.7</v>
      </c>
      <c r="H285" s="31"/>
      <c r="I285" s="33"/>
      <c r="J285" s="31" t="str">
        <f>Source!BO95</f>
        <v>101-0950</v>
      </c>
      <c r="K285" s="31"/>
      <c r="L285" s="33"/>
      <c r="M285" s="34"/>
      <c r="S285">
        <f>ROUND((Source!FX95/100)*((ROUND(Source!AF95*Source!I95, 0)+ROUND(Source!AE95*Source!I95, 0))), 0)</f>
        <v>0</v>
      </c>
      <c r="T285">
        <f>Source!X95</f>
        <v>0</v>
      </c>
      <c r="U285">
        <f>ROUND((Source!FY95/100)*((ROUND(Source!AF95*Source!I95, 0)+ROUND(Source!AE95*Source!I95, 0))), 0)</f>
        <v>0</v>
      </c>
      <c r="V285">
        <f>Source!Y95</f>
        <v>0</v>
      </c>
    </row>
    <row r="286" spans="1:28" ht="14.4">
      <c r="A286" s="39"/>
      <c r="B286" s="39"/>
      <c r="C286" s="40"/>
      <c r="D286" s="41" t="s">
        <v>969</v>
      </c>
      <c r="E286" s="42"/>
      <c r="F286" s="43"/>
      <c r="G286" s="44">
        <f>Source!AL95</f>
        <v>75.7</v>
      </c>
      <c r="H286" s="45" t="str">
        <f>Source!DD95</f>
        <v/>
      </c>
      <c r="I286" s="46">
        <f>ROUND(Source!AC95*Source!I95, 0)</f>
        <v>76</v>
      </c>
      <c r="J286" s="45"/>
      <c r="K286" s="45">
        <f>IF(Source!BC95&lt;&gt; 0, Source!BC95, 1)</f>
        <v>4.47</v>
      </c>
      <c r="L286" s="46">
        <f>Source!P95</f>
        <v>338</v>
      </c>
      <c r="M286" s="52"/>
    </row>
    <row r="287" spans="1:28" ht="13.8">
      <c r="H287" s="93">
        <f>ROUND(Source!AC95*Source!I95, 0)+ROUND(Source!AF95*Source!I95, 0)+ROUND(Source!AD95*Source!I95, 0)</f>
        <v>76</v>
      </c>
      <c r="I287" s="93"/>
      <c r="K287" s="93">
        <f>Source!O95</f>
        <v>338</v>
      </c>
      <c r="L287" s="93"/>
      <c r="M287" s="38">
        <f>Source!U95</f>
        <v>0</v>
      </c>
      <c r="O287" s="37">
        <f>H287</f>
        <v>76</v>
      </c>
      <c r="P287" s="37">
        <f>K287</f>
        <v>338</v>
      </c>
      <c r="Q287" s="48">
        <f>M287</f>
        <v>0</v>
      </c>
      <c r="W287">
        <f>IF(Source!BI95&lt;=1,H287, 0)</f>
        <v>76</v>
      </c>
      <c r="X287">
        <f>IF(Source!BI95=2,H287, 0)</f>
        <v>0</v>
      </c>
      <c r="Y287">
        <f>IF(Source!BI95=3,H287, 0)</f>
        <v>0</v>
      </c>
      <c r="Z287">
        <f>IF(Source!BI95=4,H287, 0)</f>
        <v>0</v>
      </c>
    </row>
    <row r="288" spans="1:28" ht="43.2">
      <c r="A288" s="27">
        <v>34</v>
      </c>
      <c r="B288" s="27" t="str">
        <f>Source!E96</f>
        <v>32</v>
      </c>
      <c r="C288" s="28" t="str">
        <f>Source!F96</f>
        <v>10-01-060-1</v>
      </c>
      <c r="D288" s="25" t="str">
        <f>Source!G96</f>
        <v>Установка и крепление наличников</v>
      </c>
      <c r="E288" s="30" t="str">
        <f>Source!H96</f>
        <v>100 м коробок блоков</v>
      </c>
      <c r="F288" s="10">
        <f>Source!I96</f>
        <v>5.1999999999999998E-2</v>
      </c>
      <c r="G288" s="32">
        <f>IF(Source!AK96&lt;&gt; 0, Source!AK96,Source!AL96 + Source!AM96 + Source!AO96)</f>
        <v>516.04</v>
      </c>
      <c r="H288" s="31"/>
      <c r="I288" s="33"/>
      <c r="J288" s="31" t="str">
        <f>Source!BO96</f>
        <v>10-01-060-1</v>
      </c>
      <c r="K288" s="31"/>
      <c r="L288" s="33"/>
      <c r="M288" s="34"/>
      <c r="S288">
        <f>ROUND((Source!FX96/100)*((ROUND(Source!AF96*Source!I96, 0)+ROUND(Source!AE96*Source!I96, 0))), 0)</f>
        <v>3</v>
      </c>
      <c r="T288">
        <f>Source!X96</f>
        <v>56</v>
      </c>
      <c r="U288">
        <f>ROUND((Source!FY96/100)*((ROUND(Source!AF96*Source!I96, 0)+ROUND(Source!AE96*Source!I96, 0))), 0)</f>
        <v>2</v>
      </c>
      <c r="V288">
        <f>Source!Y96</f>
        <v>36</v>
      </c>
    </row>
    <row r="289" spans="1:26">
      <c r="D289" s="49" t="str">
        <f>"Объем: "&amp;Source!I96&amp;"=5,2/"&amp;"100"</f>
        <v>Объем: 0,052=5,2/100</v>
      </c>
    </row>
    <row r="290" spans="1:26" ht="14.4">
      <c r="A290" s="27"/>
      <c r="B290" s="27"/>
      <c r="C290" s="28"/>
      <c r="D290" s="25" t="s">
        <v>962</v>
      </c>
      <c r="E290" s="30"/>
      <c r="F290" s="10"/>
      <c r="G290" s="32">
        <f>Source!AO96</f>
        <v>59.67</v>
      </c>
      <c r="H290" s="31" t="str">
        <f>Source!DG96</f>
        <v>)*1,15</v>
      </c>
      <c r="I290" s="33">
        <f>ROUND(Source!AF96*Source!I96, 0)</f>
        <v>4</v>
      </c>
      <c r="J290" s="31"/>
      <c r="K290" s="31">
        <f>IF(Source!BA96&lt;&gt; 0, Source!BA96, 1)</f>
        <v>20.88</v>
      </c>
      <c r="L290" s="33">
        <f>Source!S96</f>
        <v>75</v>
      </c>
      <c r="M290" s="34"/>
      <c r="R290">
        <f>I290</f>
        <v>4</v>
      </c>
    </row>
    <row r="291" spans="1:26" ht="14.4">
      <c r="A291" s="27"/>
      <c r="B291" s="27"/>
      <c r="C291" s="28"/>
      <c r="D291" s="25" t="s">
        <v>125</v>
      </c>
      <c r="E291" s="30"/>
      <c r="F291" s="10"/>
      <c r="G291" s="32">
        <f>Source!AM96</f>
        <v>3.67</v>
      </c>
      <c r="H291" s="31" t="str">
        <f>Source!DE96</f>
        <v>)*1,25</v>
      </c>
      <c r="I291" s="33">
        <f>ROUND(Source!AD96*Source!I96, 0)</f>
        <v>0</v>
      </c>
      <c r="J291" s="31"/>
      <c r="K291" s="31">
        <f>IF(Source!BB96&lt;&gt; 0, Source!BB96, 1)</f>
        <v>9.1999999999999993</v>
      </c>
      <c r="L291" s="33">
        <f>Source!Q96</f>
        <v>2</v>
      </c>
      <c r="M291" s="34"/>
    </row>
    <row r="292" spans="1:26" ht="14.4">
      <c r="A292" s="27"/>
      <c r="B292" s="27"/>
      <c r="C292" s="28"/>
      <c r="D292" s="25" t="s">
        <v>969</v>
      </c>
      <c r="E292" s="30"/>
      <c r="F292" s="10"/>
      <c r="G292" s="32">
        <f>Source!AL96</f>
        <v>452.7</v>
      </c>
      <c r="H292" s="31" t="str">
        <f>Source!DD96</f>
        <v/>
      </c>
      <c r="I292" s="33">
        <f>ROUND(Source!AC96*Source!I96, 0)</f>
        <v>24</v>
      </c>
      <c r="J292" s="31"/>
      <c r="K292" s="31">
        <f>IF(Source!BC96&lt;&gt; 0, Source!BC96, 1)</f>
        <v>12.28</v>
      </c>
      <c r="L292" s="33">
        <f>Source!P96</f>
        <v>289</v>
      </c>
      <c r="M292" s="34"/>
    </row>
    <row r="293" spans="1:26" ht="14.4">
      <c r="A293" s="27"/>
      <c r="B293" s="27"/>
      <c r="C293" s="28"/>
      <c r="D293" s="25" t="s">
        <v>964</v>
      </c>
      <c r="E293" s="30" t="s">
        <v>965</v>
      </c>
      <c r="F293" s="10">
        <f>Source!BZ96</f>
        <v>118</v>
      </c>
      <c r="G293" s="92" t="str">
        <f>CONCATENATE(" )", Source!DL96, Source!FT96, "=", Source!FX96)</f>
        <v xml:space="preserve"> )*0,9*0,7=74,34</v>
      </c>
      <c r="H293" s="90"/>
      <c r="I293" s="33">
        <f>SUM(S288:S295)</f>
        <v>3</v>
      </c>
      <c r="J293" s="35"/>
      <c r="K293" s="25">
        <f>Source!AT96</f>
        <v>74</v>
      </c>
      <c r="L293" s="33">
        <f>SUM(T288:T295)</f>
        <v>56</v>
      </c>
      <c r="M293" s="34"/>
    </row>
    <row r="294" spans="1:26" ht="14.4">
      <c r="A294" s="27"/>
      <c r="B294" s="27"/>
      <c r="C294" s="28"/>
      <c r="D294" s="25" t="s">
        <v>966</v>
      </c>
      <c r="E294" s="30" t="s">
        <v>965</v>
      </c>
      <c r="F294" s="10">
        <f>Source!CA96</f>
        <v>63</v>
      </c>
      <c r="G294" s="92" t="str">
        <f>CONCATENATE(" )", Source!DM96, Source!FU96, "=", Source!FY96)</f>
        <v xml:space="preserve"> )*0,85*0,9=48,195</v>
      </c>
      <c r="H294" s="90"/>
      <c r="I294" s="33">
        <f>SUM(U288:U295)</f>
        <v>2</v>
      </c>
      <c r="J294" s="35"/>
      <c r="K294" s="25">
        <f>Source!AU96</f>
        <v>48</v>
      </c>
      <c r="L294" s="33">
        <f>SUM(V288:V295)</f>
        <v>36</v>
      </c>
      <c r="M294" s="34"/>
    </row>
    <row r="295" spans="1:26" ht="14.4">
      <c r="A295" s="39"/>
      <c r="B295" s="39"/>
      <c r="C295" s="40"/>
      <c r="D295" s="41" t="s">
        <v>967</v>
      </c>
      <c r="E295" s="42" t="s">
        <v>968</v>
      </c>
      <c r="F295" s="43">
        <f>Source!AQ96</f>
        <v>7.82</v>
      </c>
      <c r="G295" s="44"/>
      <c r="H295" s="45" t="str">
        <f>Source!DI96</f>
        <v>)*1,15</v>
      </c>
      <c r="I295" s="46"/>
      <c r="J295" s="45"/>
      <c r="K295" s="45"/>
      <c r="L295" s="46"/>
      <c r="M295" s="47">
        <f>Source!U96</f>
        <v>0.467636</v>
      </c>
    </row>
    <row r="296" spans="1:26" ht="13.8">
      <c r="H296" s="93">
        <f>ROUND(Source!AC96*Source!I96, 0)+ROUND(Source!AF96*Source!I96, 0)+ROUND(Source!AD96*Source!I96, 0)+SUM(I293:I294)</f>
        <v>33</v>
      </c>
      <c r="I296" s="93"/>
      <c r="K296" s="93">
        <f>Source!O96+SUM(L293:L294)</f>
        <v>458</v>
      </c>
      <c r="L296" s="93"/>
      <c r="M296" s="38">
        <f>Source!U96</f>
        <v>0.467636</v>
      </c>
      <c r="O296" s="37">
        <f>H296</f>
        <v>33</v>
      </c>
      <c r="P296" s="37">
        <f>K296</f>
        <v>458</v>
      </c>
      <c r="Q296" s="48">
        <f>M296</f>
        <v>0.467636</v>
      </c>
      <c r="W296">
        <f>IF(Source!BI96&lt;=1,H296, 0)</f>
        <v>33</v>
      </c>
      <c r="X296">
        <f>IF(Source!BI96=2,H296, 0)</f>
        <v>0</v>
      </c>
      <c r="Y296">
        <f>IF(Source!BI96=3,H296, 0)</f>
        <v>0</v>
      </c>
      <c r="Z296">
        <f>IF(Source!BI96=4,H296, 0)</f>
        <v>0</v>
      </c>
    </row>
    <row r="297" spans="1:26" ht="28.2">
      <c r="A297" s="27">
        <v>35</v>
      </c>
      <c r="B297" s="27" t="str">
        <f>Source!E97</f>
        <v>33</v>
      </c>
      <c r="C297" s="28" t="str">
        <f>Source!F97</f>
        <v>09-04-012-2</v>
      </c>
      <c r="D297" s="25" t="str">
        <f>Source!G97</f>
        <v>Установка дверного доводчика к металлическим дверям</v>
      </c>
      <c r="E297" s="30" t="str">
        <f>Source!H97</f>
        <v>1  ШТ.</v>
      </c>
      <c r="F297" s="10">
        <f>Source!I97</f>
        <v>1</v>
      </c>
      <c r="G297" s="32">
        <f>IF(Source!AK97&lt;&gt; 0, Source!AK97,Source!AL97 + Source!AM97 + Source!AO97)</f>
        <v>13.57</v>
      </c>
      <c r="H297" s="31"/>
      <c r="I297" s="33"/>
      <c r="J297" s="31" t="str">
        <f>Source!BO97</f>
        <v>09-04-012-2</v>
      </c>
      <c r="K297" s="31"/>
      <c r="L297" s="33"/>
      <c r="M297" s="34"/>
      <c r="S297">
        <f>ROUND((Source!FX97/100)*((ROUND(Source!AF97*Source!I97, 0)+ROUND(Source!AE97*Source!I97, 0))), 0)</f>
        <v>7</v>
      </c>
      <c r="T297">
        <f>Source!X97</f>
        <v>141</v>
      </c>
      <c r="U297">
        <f>ROUND((Source!FY97/100)*((ROUND(Source!AF97*Source!I97, 0)+ROUND(Source!AE97*Source!I97, 0))), 0)</f>
        <v>8</v>
      </c>
      <c r="V297">
        <f>Source!Y97</f>
        <v>161</v>
      </c>
    </row>
    <row r="298" spans="1:26" ht="14.4">
      <c r="A298" s="27"/>
      <c r="B298" s="27"/>
      <c r="C298" s="28"/>
      <c r="D298" s="25" t="s">
        <v>962</v>
      </c>
      <c r="E298" s="30"/>
      <c r="F298" s="10"/>
      <c r="G298" s="32">
        <f>Source!AO97</f>
        <v>10.29</v>
      </c>
      <c r="H298" s="31" t="str">
        <f>Source!DG97</f>
        <v>)*1,15</v>
      </c>
      <c r="I298" s="33">
        <f>ROUND(Source!AF97*Source!I97, 0)</f>
        <v>12</v>
      </c>
      <c r="J298" s="31"/>
      <c r="K298" s="31">
        <f>IF(Source!BA97&lt;&gt; 0, Source!BA97, 1)</f>
        <v>20.88</v>
      </c>
      <c r="L298" s="33">
        <f>Source!S97</f>
        <v>247</v>
      </c>
      <c r="M298" s="34"/>
      <c r="R298">
        <f>I298</f>
        <v>12</v>
      </c>
    </row>
    <row r="299" spans="1:26" ht="14.4">
      <c r="A299" s="27"/>
      <c r="B299" s="27"/>
      <c r="C299" s="28"/>
      <c r="D299" s="25" t="s">
        <v>125</v>
      </c>
      <c r="E299" s="30"/>
      <c r="F299" s="10"/>
      <c r="G299" s="32">
        <f>Source!AM97</f>
        <v>2.6</v>
      </c>
      <c r="H299" s="31" t="str">
        <f>Source!DE97</f>
        <v>)*1,25</v>
      </c>
      <c r="I299" s="33">
        <f>ROUND(Source!AD97*Source!I97, 0)</f>
        <v>3</v>
      </c>
      <c r="J299" s="31"/>
      <c r="K299" s="31">
        <f>IF(Source!BB97&lt;&gt; 0, Source!BB97, 1)</f>
        <v>5.95</v>
      </c>
      <c r="L299" s="33">
        <f>Source!Q97</f>
        <v>19</v>
      </c>
      <c r="M299" s="34"/>
    </row>
    <row r="300" spans="1:26" ht="14.4">
      <c r="A300" s="27"/>
      <c r="B300" s="27"/>
      <c r="C300" s="28"/>
      <c r="D300" s="25" t="s">
        <v>969</v>
      </c>
      <c r="E300" s="30"/>
      <c r="F300" s="10"/>
      <c r="G300" s="32">
        <f>Source!AL97</f>
        <v>0.68</v>
      </c>
      <c r="H300" s="31" t="str">
        <f>Source!DD97</f>
        <v/>
      </c>
      <c r="I300" s="33">
        <f>ROUND(Source!AC97*Source!I97, 0)</f>
        <v>1</v>
      </c>
      <c r="J300" s="31"/>
      <c r="K300" s="31">
        <f>IF(Source!BC97&lt;&gt; 0, Source!BC97, 1)</f>
        <v>5.37</v>
      </c>
      <c r="L300" s="33">
        <f>Source!P97</f>
        <v>4</v>
      </c>
      <c r="M300" s="34"/>
    </row>
    <row r="301" spans="1:26" ht="14.4">
      <c r="A301" s="27"/>
      <c r="B301" s="27"/>
      <c r="C301" s="28"/>
      <c r="D301" s="25" t="s">
        <v>964</v>
      </c>
      <c r="E301" s="30" t="s">
        <v>965</v>
      </c>
      <c r="F301" s="10">
        <f>Source!BZ97</f>
        <v>90</v>
      </c>
      <c r="G301" s="92" t="str">
        <f>CONCATENATE(" )", Source!DL97, Source!FT97, "=", Source!FX97)</f>
        <v xml:space="preserve"> )*0,9*0,7=56,7</v>
      </c>
      <c r="H301" s="90"/>
      <c r="I301" s="33">
        <f>SUM(S297:S303)</f>
        <v>7</v>
      </c>
      <c r="J301" s="35"/>
      <c r="K301" s="25">
        <f>Source!AT97</f>
        <v>57</v>
      </c>
      <c r="L301" s="33">
        <f>SUM(T297:T303)</f>
        <v>141</v>
      </c>
      <c r="M301" s="34"/>
    </row>
    <row r="302" spans="1:26" ht="14.4">
      <c r="A302" s="27"/>
      <c r="B302" s="27"/>
      <c r="C302" s="28"/>
      <c r="D302" s="25" t="s">
        <v>966</v>
      </c>
      <c r="E302" s="30" t="s">
        <v>965</v>
      </c>
      <c r="F302" s="10">
        <f>Source!CA97</f>
        <v>85</v>
      </c>
      <c r="G302" s="92" t="str">
        <f>CONCATENATE(" )", Source!DM97, Source!FU97, "=", Source!FY97)</f>
        <v xml:space="preserve"> )*0,85*0,9=65,025</v>
      </c>
      <c r="H302" s="90"/>
      <c r="I302" s="33">
        <f>SUM(U297:U303)</f>
        <v>8</v>
      </c>
      <c r="J302" s="35"/>
      <c r="K302" s="25">
        <f>Source!AU97</f>
        <v>65</v>
      </c>
      <c r="L302" s="33">
        <f>SUM(V297:V303)</f>
        <v>161</v>
      </c>
      <c r="M302" s="34"/>
    </row>
    <row r="303" spans="1:26" ht="14.4">
      <c r="A303" s="39"/>
      <c r="B303" s="39"/>
      <c r="C303" s="40"/>
      <c r="D303" s="41" t="s">
        <v>967</v>
      </c>
      <c r="E303" s="42" t="s">
        <v>968</v>
      </c>
      <c r="F303" s="43">
        <f>Source!AQ97</f>
        <v>1.1100000000000001</v>
      </c>
      <c r="G303" s="44"/>
      <c r="H303" s="45" t="str">
        <f>Source!DI97</f>
        <v>)*1,15</v>
      </c>
      <c r="I303" s="46"/>
      <c r="J303" s="45"/>
      <c r="K303" s="45"/>
      <c r="L303" s="46"/>
      <c r="M303" s="47">
        <f>Source!U97</f>
        <v>1.2765</v>
      </c>
    </row>
    <row r="304" spans="1:26" ht="13.8">
      <c r="H304" s="93">
        <f>ROUND(Source!AC97*Source!I97, 0)+ROUND(Source!AF97*Source!I97, 0)+ROUND(Source!AD97*Source!I97, 0)+SUM(I301:I302)</f>
        <v>31</v>
      </c>
      <c r="I304" s="93"/>
      <c r="K304" s="93">
        <f>Source!O97+SUM(L301:L302)</f>
        <v>572</v>
      </c>
      <c r="L304" s="93"/>
      <c r="M304" s="38">
        <f>Source!U97</f>
        <v>1.2765</v>
      </c>
      <c r="O304" s="37">
        <f>H304</f>
        <v>31</v>
      </c>
      <c r="P304" s="37">
        <f>K304</f>
        <v>572</v>
      </c>
      <c r="Q304" s="48">
        <f>M304</f>
        <v>1.2765</v>
      </c>
      <c r="W304">
        <f>IF(Source!BI97&lt;=1,H304, 0)</f>
        <v>31</v>
      </c>
      <c r="X304">
        <f>IF(Source!BI97=2,H304, 0)</f>
        <v>0</v>
      </c>
      <c r="Y304">
        <f>IF(Source!BI97=3,H304, 0)</f>
        <v>0</v>
      </c>
      <c r="Z304">
        <f>IF(Source!BI97=4,H304, 0)</f>
        <v>0</v>
      </c>
    </row>
    <row r="305" spans="1:26" ht="28.2">
      <c r="A305" s="27">
        <v>36</v>
      </c>
      <c r="B305" s="27" t="str">
        <f>Source!E98</f>
        <v>34</v>
      </c>
      <c r="C305" s="28" t="str">
        <f>Source!F98</f>
        <v>Прайс</v>
      </c>
      <c r="D305" s="25" t="str">
        <f>Source!G98</f>
        <v>Доводчик G-U OTS 430 EN2-5, с рычажной тягой, BC, цвет - коричневый</v>
      </c>
      <c r="E305" s="30" t="str">
        <f>Source!H98</f>
        <v>шт.</v>
      </c>
      <c r="F305" s="10">
        <f>Source!I98</f>
        <v>1</v>
      </c>
      <c r="G305" s="32">
        <f>IF(Source!AK98&lt;&gt; 0, Source!AK98,Source!AL98 + Source!AM98 + Source!AO98)</f>
        <v>1066.9000000000001</v>
      </c>
      <c r="H305" s="31"/>
      <c r="I305" s="33"/>
      <c r="J305" s="31" t="str">
        <f>Source!BO98</f>
        <v>101-6978</v>
      </c>
      <c r="K305" s="31"/>
      <c r="L305" s="33"/>
      <c r="M305" s="34"/>
      <c r="S305">
        <f>ROUND((Source!FX98/100)*((ROUND(Source!AF98*Source!I98, 0)+ROUND(Source!AE98*Source!I98, 0))), 0)</f>
        <v>0</v>
      </c>
      <c r="T305">
        <f>Source!X98</f>
        <v>0</v>
      </c>
      <c r="U305">
        <f>ROUND((Source!FY98/100)*((ROUND(Source!AF98*Source!I98, 0)+ROUND(Source!AE98*Source!I98, 0))), 0)</f>
        <v>0</v>
      </c>
      <c r="V305">
        <f>Source!Y98</f>
        <v>0</v>
      </c>
    </row>
    <row r="306" spans="1:26" ht="14.4">
      <c r="A306" s="39"/>
      <c r="B306" s="39"/>
      <c r="C306" s="40"/>
      <c r="D306" s="41" t="s">
        <v>969</v>
      </c>
      <c r="E306" s="42"/>
      <c r="F306" s="43"/>
      <c r="G306" s="44">
        <f>Source!AL98</f>
        <v>1066.9000000000001</v>
      </c>
      <c r="H306" s="45" t="str">
        <f>Source!DD98</f>
        <v/>
      </c>
      <c r="I306" s="46">
        <f>ROUND(Source!AC98*Source!I98, 0)</f>
        <v>1067</v>
      </c>
      <c r="J306" s="45"/>
      <c r="K306" s="45">
        <f>IF(Source!BC98&lt;&gt; 0, Source!BC98, 1)</f>
        <v>3.65</v>
      </c>
      <c r="L306" s="46">
        <f>Source!P98</f>
        <v>3894</v>
      </c>
      <c r="M306" s="52"/>
    </row>
    <row r="307" spans="1:26" ht="13.8">
      <c r="H307" s="93">
        <f>ROUND(Source!AC98*Source!I98, 0)+ROUND(Source!AF98*Source!I98, 0)+ROUND(Source!AD98*Source!I98, 0)</f>
        <v>1067</v>
      </c>
      <c r="I307" s="93"/>
      <c r="K307" s="93">
        <f>Source!O98</f>
        <v>3894</v>
      </c>
      <c r="L307" s="93"/>
      <c r="M307" s="38">
        <f>Source!U98</f>
        <v>0</v>
      </c>
      <c r="O307" s="37">
        <f>H307</f>
        <v>1067</v>
      </c>
      <c r="P307" s="37">
        <f>K307</f>
        <v>3894</v>
      </c>
      <c r="Q307" s="48">
        <f>M307</f>
        <v>0</v>
      </c>
      <c r="W307">
        <f>IF(Source!BI98&lt;=1,H307, 0)</f>
        <v>1067</v>
      </c>
      <c r="X307">
        <f>IF(Source!BI98=2,H307, 0)</f>
        <v>0</v>
      </c>
      <c r="Y307">
        <f>IF(Source!BI98=3,H307, 0)</f>
        <v>0</v>
      </c>
      <c r="Z307">
        <f>IF(Source!BI98=4,H307, 0)</f>
        <v>0</v>
      </c>
    </row>
    <row r="308" spans="1:26" ht="42">
      <c r="A308" s="27">
        <v>37</v>
      </c>
      <c r="B308" s="27" t="str">
        <f>Source!E99</f>
        <v>35</v>
      </c>
      <c r="C308" s="28" t="str">
        <f>Source!F99</f>
        <v>17-01-002-4</v>
      </c>
      <c r="D308" s="25" t="str">
        <f>Source!G99</f>
        <v>Установка гарнитуры туалетной: вешалок, подстаканников, поручней для ванн и т.д.</v>
      </c>
      <c r="E308" s="30" t="str">
        <f>Source!H99</f>
        <v>10 шт.</v>
      </c>
      <c r="F308" s="10">
        <f>Source!I99</f>
        <v>0.4</v>
      </c>
      <c r="G308" s="32">
        <f>IF(Source!AK99&lt;&gt; 0, Source!AK99,Source!AL99 + Source!AM99 + Source!AO99)</f>
        <v>1577.33</v>
      </c>
      <c r="H308" s="31"/>
      <c r="I308" s="33"/>
      <c r="J308" s="31" t="str">
        <f>Source!BO99</f>
        <v>17-01-002-4</v>
      </c>
      <c r="K308" s="31"/>
      <c r="L308" s="33"/>
      <c r="M308" s="34"/>
      <c r="S308">
        <f>ROUND((Source!FX99/100)*((ROUND(Source!AF99*Source!I99, 0)+ROUND(Source!AE99*Source!I99, 0))), 0)</f>
        <v>10</v>
      </c>
      <c r="T308">
        <f>Source!X99</f>
        <v>196</v>
      </c>
      <c r="U308">
        <f>ROUND((Source!FY99/100)*((ROUND(Source!AF99*Source!I99, 0)+ROUND(Source!AE99*Source!I99, 0))), 0)</f>
        <v>8</v>
      </c>
      <c r="V308">
        <f>Source!Y99</f>
        <v>152</v>
      </c>
    </row>
    <row r="309" spans="1:26">
      <c r="D309" s="49" t="str">
        <f>"Объем: "&amp;Source!I99&amp;"=4/"&amp;"10"</f>
        <v>Объем: 0,4=4/10</v>
      </c>
    </row>
    <row r="310" spans="1:26" ht="14.4">
      <c r="A310" s="27"/>
      <c r="B310" s="27"/>
      <c r="C310" s="28"/>
      <c r="D310" s="25" t="s">
        <v>962</v>
      </c>
      <c r="E310" s="30"/>
      <c r="F310" s="10"/>
      <c r="G310" s="32">
        <f>Source!AO99</f>
        <v>25.17</v>
      </c>
      <c r="H310" s="31" t="str">
        <f>Source!DG99</f>
        <v>)*1,15</v>
      </c>
      <c r="I310" s="33">
        <f>ROUND(Source!AF99*Source!I99, 0)</f>
        <v>12</v>
      </c>
      <c r="J310" s="31"/>
      <c r="K310" s="31">
        <f>IF(Source!BA99&lt;&gt; 0, Source!BA99, 1)</f>
        <v>20.88</v>
      </c>
      <c r="L310" s="33">
        <f>Source!S99</f>
        <v>242</v>
      </c>
      <c r="M310" s="34"/>
      <c r="R310">
        <f>I310</f>
        <v>12</v>
      </c>
    </row>
    <row r="311" spans="1:26" ht="14.4">
      <c r="A311" s="27"/>
      <c r="B311" s="27"/>
      <c r="C311" s="28"/>
      <c r="D311" s="25" t="s">
        <v>969</v>
      </c>
      <c r="E311" s="30"/>
      <c r="F311" s="10"/>
      <c r="G311" s="32">
        <f>Source!AL99</f>
        <v>1551.94</v>
      </c>
      <c r="H311" s="31" t="str">
        <f>Source!DD99</f>
        <v/>
      </c>
      <c r="I311" s="33">
        <f>ROUND(Source!AC99*Source!I99, 0)</f>
        <v>621</v>
      </c>
      <c r="J311" s="31"/>
      <c r="K311" s="31">
        <f>IF(Source!BC99&lt;&gt; 0, Source!BC99, 1)</f>
        <v>6.7</v>
      </c>
      <c r="L311" s="33">
        <f>Source!P99</f>
        <v>4159</v>
      </c>
      <c r="M311" s="34"/>
    </row>
    <row r="312" spans="1:26" ht="14.4">
      <c r="A312" s="27"/>
      <c r="B312" s="27"/>
      <c r="C312" s="28"/>
      <c r="D312" s="25" t="s">
        <v>964</v>
      </c>
      <c r="E312" s="30" t="s">
        <v>965</v>
      </c>
      <c r="F312" s="10">
        <f>Source!BZ99</f>
        <v>128</v>
      </c>
      <c r="G312" s="92" t="str">
        <f>CONCATENATE(" )", Source!DL99, Source!FT99, "=", Source!FX99)</f>
        <v xml:space="preserve"> )*0,9*0,7=80,64</v>
      </c>
      <c r="H312" s="90"/>
      <c r="I312" s="33">
        <f>SUM(S308:S314)</f>
        <v>10</v>
      </c>
      <c r="J312" s="35"/>
      <c r="K312" s="25">
        <f>Source!AT99</f>
        <v>81</v>
      </c>
      <c r="L312" s="33">
        <f>SUM(T308:T314)</f>
        <v>196</v>
      </c>
      <c r="M312" s="34"/>
    </row>
    <row r="313" spans="1:26" ht="14.4">
      <c r="A313" s="27"/>
      <c r="B313" s="27"/>
      <c r="C313" s="28"/>
      <c r="D313" s="25" t="s">
        <v>966</v>
      </c>
      <c r="E313" s="30" t="s">
        <v>965</v>
      </c>
      <c r="F313" s="10">
        <f>Source!CA99</f>
        <v>83</v>
      </c>
      <c r="G313" s="92" t="str">
        <f>CONCATENATE(" )", Source!DM99, Source!FU99, "=", Source!FY99)</f>
        <v xml:space="preserve"> )*0,85*0,9=63,495</v>
      </c>
      <c r="H313" s="90"/>
      <c r="I313" s="33">
        <f>SUM(U308:U314)</f>
        <v>8</v>
      </c>
      <c r="J313" s="35"/>
      <c r="K313" s="25">
        <f>Source!AU99</f>
        <v>63</v>
      </c>
      <c r="L313" s="33">
        <f>SUM(V308:V314)</f>
        <v>152</v>
      </c>
      <c r="M313" s="34"/>
    </row>
    <row r="314" spans="1:26" ht="14.4">
      <c r="A314" s="39"/>
      <c r="B314" s="39"/>
      <c r="C314" s="40"/>
      <c r="D314" s="41" t="s">
        <v>967</v>
      </c>
      <c r="E314" s="42" t="s">
        <v>968</v>
      </c>
      <c r="F314" s="43">
        <f>Source!AQ99</f>
        <v>2.8</v>
      </c>
      <c r="G314" s="44"/>
      <c r="H314" s="45" t="str">
        <f>Source!DI99</f>
        <v>)*1,15</v>
      </c>
      <c r="I314" s="46"/>
      <c r="J314" s="45"/>
      <c r="K314" s="45"/>
      <c r="L314" s="46"/>
      <c r="M314" s="47">
        <f>Source!U99</f>
        <v>1.288</v>
      </c>
    </row>
    <row r="315" spans="1:26" ht="13.8">
      <c r="H315" s="93">
        <f>ROUND(Source!AC99*Source!I99, 0)+ROUND(Source!AF99*Source!I99, 0)+ROUND(Source!AD99*Source!I99, 0)+SUM(I312:I313)</f>
        <v>651</v>
      </c>
      <c r="I315" s="93"/>
      <c r="K315" s="93">
        <f>Source!O99+SUM(L312:L313)</f>
        <v>4749</v>
      </c>
      <c r="L315" s="93"/>
      <c r="M315" s="38">
        <f>Source!U99</f>
        <v>1.288</v>
      </c>
      <c r="O315" s="37">
        <f>H315</f>
        <v>651</v>
      </c>
      <c r="P315" s="37">
        <f>K315</f>
        <v>4749</v>
      </c>
      <c r="Q315" s="48">
        <f>M315</f>
        <v>1.288</v>
      </c>
      <c r="W315">
        <f>IF(Source!BI99&lt;=1,H315, 0)</f>
        <v>651</v>
      </c>
      <c r="X315">
        <f>IF(Source!BI99=2,H315, 0)</f>
        <v>0</v>
      </c>
      <c r="Y315">
        <f>IF(Source!BI99=3,H315, 0)</f>
        <v>0</v>
      </c>
      <c r="Z315">
        <f>IF(Source!BI99=4,H315, 0)</f>
        <v>0</v>
      </c>
    </row>
    <row r="316" spans="1:26" ht="28.2">
      <c r="A316" s="27">
        <v>38</v>
      </c>
      <c r="B316" s="27" t="str">
        <f>Source!E100</f>
        <v>36</v>
      </c>
      <c r="C316" s="28" t="str">
        <f>Source!F100</f>
        <v>Прайс</v>
      </c>
      <c r="D316" s="25" t="str">
        <f>Source!G100</f>
        <v>Поручень для инвалидов откидной с бумагодержателем ПО-06.02.840.100.250</v>
      </c>
      <c r="E316" s="30" t="str">
        <f>Source!H100</f>
        <v>шт.</v>
      </c>
      <c r="F316" s="10">
        <f>Source!I100</f>
        <v>1</v>
      </c>
      <c r="G316" s="32">
        <f>IF(Source!AK100&lt;&gt; 0, Source!AK100,Source!AL100 + Source!AM100 + Source!AO100)</f>
        <v>4211</v>
      </c>
      <c r="H316" s="31"/>
      <c r="I316" s="33"/>
      <c r="J316" s="31" t="str">
        <f>Source!BO100</f>
        <v/>
      </c>
      <c r="K316" s="31"/>
      <c r="L316" s="33"/>
      <c r="M316" s="34"/>
      <c r="S316">
        <f>ROUND((Source!FX100/100)*((ROUND(Source!AF100*Source!I100, 0)+ROUND(Source!AE100*Source!I100, 0))), 0)</f>
        <v>0</v>
      </c>
      <c r="T316">
        <f>Source!X100</f>
        <v>0</v>
      </c>
      <c r="U316">
        <f>ROUND((Source!FY100/100)*((ROUND(Source!AF100*Source!I100, 0)+ROUND(Source!AE100*Source!I100, 0))), 0)</f>
        <v>0</v>
      </c>
      <c r="V316">
        <f>Source!Y100</f>
        <v>0</v>
      </c>
    </row>
    <row r="317" spans="1:26" ht="14.4">
      <c r="A317" s="39"/>
      <c r="B317" s="39"/>
      <c r="C317" s="40"/>
      <c r="D317" s="41" t="s">
        <v>969</v>
      </c>
      <c r="E317" s="42"/>
      <c r="F317" s="43"/>
      <c r="G317" s="44">
        <f>Source!AL100</f>
        <v>4211</v>
      </c>
      <c r="H317" s="45" t="str">
        <f>Source!DD100</f>
        <v/>
      </c>
      <c r="I317" s="46">
        <f>ROUND(Source!AC100*Source!I100, 0)</f>
        <v>4211</v>
      </c>
      <c r="J317" s="45"/>
      <c r="K317" s="45">
        <f>IF(Source!BC100&lt;&gt; 0, Source!BC100, 1)</f>
        <v>1</v>
      </c>
      <c r="L317" s="46">
        <f>Source!P100</f>
        <v>4211</v>
      </c>
      <c r="M317" s="52"/>
    </row>
    <row r="318" spans="1:26" ht="13.8">
      <c r="H318" s="93">
        <f>ROUND(Source!AC100*Source!I100, 0)+ROUND(Source!AF100*Source!I100, 0)+ROUND(Source!AD100*Source!I100, 0)</f>
        <v>4211</v>
      </c>
      <c r="I318" s="93"/>
      <c r="K318" s="93">
        <f>Source!O100</f>
        <v>4211</v>
      </c>
      <c r="L318" s="93"/>
      <c r="M318" s="38">
        <f>Source!U100</f>
        <v>0</v>
      </c>
      <c r="O318" s="37">
        <f>H318</f>
        <v>4211</v>
      </c>
      <c r="P318" s="37">
        <f>K318</f>
        <v>4211</v>
      </c>
      <c r="Q318" s="48">
        <f>M318</f>
        <v>0</v>
      </c>
      <c r="W318">
        <f>IF(Source!BI100&lt;=1,H318, 0)</f>
        <v>4211</v>
      </c>
      <c r="X318">
        <f>IF(Source!BI100=2,H318, 0)</f>
        <v>0</v>
      </c>
      <c r="Y318">
        <f>IF(Source!BI100=3,H318, 0)</f>
        <v>0</v>
      </c>
      <c r="Z318">
        <f>IF(Source!BI100=4,H318, 0)</f>
        <v>0</v>
      </c>
    </row>
    <row r="319" spans="1:26" ht="28.2">
      <c r="A319" s="27">
        <v>39</v>
      </c>
      <c r="B319" s="27" t="str">
        <f>Source!E101</f>
        <v>37</v>
      </c>
      <c r="C319" s="28" t="str">
        <f>Source!F101</f>
        <v>Прайс</v>
      </c>
      <c r="D319" s="25" t="str">
        <f>Source!G101</f>
        <v>Поручень для инвалидов прямой для санузлов (Скоба) L=800мм.Код: ПР-20</v>
      </c>
      <c r="E319" s="30" t="str">
        <f>Source!H101</f>
        <v>шт.</v>
      </c>
      <c r="F319" s="10">
        <f>Source!I101</f>
        <v>1</v>
      </c>
      <c r="G319" s="32">
        <f>IF(Source!AK101&lt;&gt; 0, Source!AK101,Source!AL101 + Source!AM101 + Source!AO101)</f>
        <v>3062.52</v>
      </c>
      <c r="H319" s="31"/>
      <c r="I319" s="33"/>
      <c r="J319" s="31" t="str">
        <f>Source!BO101</f>
        <v/>
      </c>
      <c r="K319" s="31"/>
      <c r="L319" s="33"/>
      <c r="M319" s="34"/>
      <c r="S319">
        <f>ROUND((Source!FX101/100)*((ROUND(Source!AF101*Source!I101, 0)+ROUND(Source!AE101*Source!I101, 0))), 0)</f>
        <v>0</v>
      </c>
      <c r="T319">
        <f>Source!X101</f>
        <v>0</v>
      </c>
      <c r="U319">
        <f>ROUND((Source!FY101/100)*((ROUND(Source!AF101*Source!I101, 0)+ROUND(Source!AE101*Source!I101, 0))), 0)</f>
        <v>0</v>
      </c>
      <c r="V319">
        <f>Source!Y101</f>
        <v>0</v>
      </c>
    </row>
    <row r="320" spans="1:26" ht="14.4">
      <c r="A320" s="39"/>
      <c r="B320" s="39"/>
      <c r="C320" s="40"/>
      <c r="D320" s="41" t="s">
        <v>969</v>
      </c>
      <c r="E320" s="42"/>
      <c r="F320" s="43"/>
      <c r="G320" s="44">
        <f>Source!AL101</f>
        <v>3062.52</v>
      </c>
      <c r="H320" s="45" t="str">
        <f>Source!DD101</f>
        <v/>
      </c>
      <c r="I320" s="46">
        <f>ROUND(Source!AC101*Source!I101, 0)</f>
        <v>3063</v>
      </c>
      <c r="J320" s="45"/>
      <c r="K320" s="45">
        <f>IF(Source!BC101&lt;&gt; 0, Source!BC101, 1)</f>
        <v>1</v>
      </c>
      <c r="L320" s="46">
        <f>Source!P101</f>
        <v>3063</v>
      </c>
      <c r="M320" s="52"/>
    </row>
    <row r="321" spans="1:26" ht="13.8">
      <c r="H321" s="93">
        <f>ROUND(Source!AC101*Source!I101, 0)+ROUND(Source!AF101*Source!I101, 0)+ROUND(Source!AD101*Source!I101, 0)</f>
        <v>3063</v>
      </c>
      <c r="I321" s="93"/>
      <c r="K321" s="93">
        <f>Source!O101</f>
        <v>3063</v>
      </c>
      <c r="L321" s="93"/>
      <c r="M321" s="38">
        <f>Source!U101</f>
        <v>0</v>
      </c>
      <c r="O321" s="37">
        <f>H321</f>
        <v>3063</v>
      </c>
      <c r="P321" s="37">
        <f>K321</f>
        <v>3063</v>
      </c>
      <c r="Q321" s="48">
        <f>M321</f>
        <v>0</v>
      </c>
      <c r="W321">
        <f>IF(Source!BI101&lt;=1,H321, 0)</f>
        <v>3063</v>
      </c>
      <c r="X321">
        <f>IF(Source!BI101=2,H321, 0)</f>
        <v>0</v>
      </c>
      <c r="Y321">
        <f>IF(Source!BI101=3,H321, 0)</f>
        <v>0</v>
      </c>
      <c r="Z321">
        <f>IF(Source!BI101=4,H321, 0)</f>
        <v>0</v>
      </c>
    </row>
    <row r="322" spans="1:26" ht="42">
      <c r="A322" s="27">
        <v>40</v>
      </c>
      <c r="B322" s="27" t="str">
        <f>Source!E102</f>
        <v>38</v>
      </c>
      <c r="C322" s="28" t="str">
        <f>Source!F102</f>
        <v>Прайс</v>
      </c>
      <c r="D322" s="25" t="str">
        <f>Source!G102</f>
        <v>Поручень для инвалидов для раковины с двумя стойками и двумя креплениями в стену (из трубы 38х1,5)Код: ПР-07</v>
      </c>
      <c r="E322" s="30" t="str">
        <f>Source!H102</f>
        <v>шт.</v>
      </c>
      <c r="F322" s="10">
        <f>Source!I102</f>
        <v>1</v>
      </c>
      <c r="G322" s="32">
        <f>IF(Source!AK102&lt;&gt; 0, Source!AK102,Source!AL102 + Source!AM102 + Source!AO102)</f>
        <v>6187.5</v>
      </c>
      <c r="H322" s="31"/>
      <c r="I322" s="33"/>
      <c r="J322" s="31" t="str">
        <f>Source!BO102</f>
        <v/>
      </c>
      <c r="K322" s="31"/>
      <c r="L322" s="33"/>
      <c r="M322" s="34"/>
      <c r="S322">
        <f>ROUND((Source!FX102/100)*((ROUND(Source!AF102*Source!I102, 0)+ROUND(Source!AE102*Source!I102, 0))), 0)</f>
        <v>0</v>
      </c>
      <c r="T322">
        <f>Source!X102</f>
        <v>0</v>
      </c>
      <c r="U322">
        <f>ROUND((Source!FY102/100)*((ROUND(Source!AF102*Source!I102, 0)+ROUND(Source!AE102*Source!I102, 0))), 0)</f>
        <v>0</v>
      </c>
      <c r="V322">
        <f>Source!Y102</f>
        <v>0</v>
      </c>
    </row>
    <row r="323" spans="1:26" ht="14.4">
      <c r="A323" s="39"/>
      <c r="B323" s="39"/>
      <c r="C323" s="40"/>
      <c r="D323" s="41" t="s">
        <v>969</v>
      </c>
      <c r="E323" s="42"/>
      <c r="F323" s="43"/>
      <c r="G323" s="44">
        <f>Source!AL102</f>
        <v>6187.5</v>
      </c>
      <c r="H323" s="45" t="str">
        <f>Source!DD102</f>
        <v/>
      </c>
      <c r="I323" s="46">
        <f>ROUND(Source!AC102*Source!I102, 0)</f>
        <v>6188</v>
      </c>
      <c r="J323" s="45"/>
      <c r="K323" s="45">
        <f>IF(Source!BC102&lt;&gt; 0, Source!BC102, 1)</f>
        <v>1</v>
      </c>
      <c r="L323" s="46">
        <f>Source!P102</f>
        <v>6188</v>
      </c>
      <c r="M323" s="52"/>
    </row>
    <row r="324" spans="1:26" ht="13.8">
      <c r="H324" s="93">
        <f>ROUND(Source!AC102*Source!I102, 0)+ROUND(Source!AF102*Source!I102, 0)+ROUND(Source!AD102*Source!I102, 0)</f>
        <v>6188</v>
      </c>
      <c r="I324" s="93"/>
      <c r="K324" s="93">
        <f>Source!O102</f>
        <v>6188</v>
      </c>
      <c r="L324" s="93"/>
      <c r="M324" s="38">
        <f>Source!U102</f>
        <v>0</v>
      </c>
      <c r="O324" s="37">
        <f>H324</f>
        <v>6188</v>
      </c>
      <c r="P324" s="37">
        <f>K324</f>
        <v>6188</v>
      </c>
      <c r="Q324" s="48">
        <f>M324</f>
        <v>0</v>
      </c>
      <c r="W324">
        <f>IF(Source!BI102&lt;=1,H324, 0)</f>
        <v>6188</v>
      </c>
      <c r="X324">
        <f>IF(Source!BI102=2,H324, 0)</f>
        <v>0</v>
      </c>
      <c r="Y324">
        <f>IF(Source!BI102=3,H324, 0)</f>
        <v>0</v>
      </c>
      <c r="Z324">
        <f>IF(Source!BI102=4,H324, 0)</f>
        <v>0</v>
      </c>
    </row>
    <row r="325" spans="1:26" ht="28.2">
      <c r="A325" s="27">
        <v>41</v>
      </c>
      <c r="B325" s="27" t="str">
        <f>Source!E103</f>
        <v>39</v>
      </c>
      <c r="C325" s="28" t="str">
        <f>Source!F103</f>
        <v>Прайс</v>
      </c>
      <c r="D325" s="25" t="str">
        <f>Source!G103</f>
        <v>Травмобезопасный крючок-держатель для костылей и одежды</v>
      </c>
      <c r="E325" s="30" t="str">
        <f>Source!H103</f>
        <v>шт.</v>
      </c>
      <c r="F325" s="10">
        <f>Source!I103</f>
        <v>1</v>
      </c>
      <c r="G325" s="32">
        <f>IF(Source!AK103&lt;&gt; 0, Source!AK103,Source!AL103 + Source!AM103 + Source!AO103)</f>
        <v>1496.7</v>
      </c>
      <c r="H325" s="31"/>
      <c r="I325" s="33"/>
      <c r="J325" s="31" t="str">
        <f>Source!BO103</f>
        <v/>
      </c>
      <c r="K325" s="31"/>
      <c r="L325" s="33"/>
      <c r="M325" s="34"/>
      <c r="S325">
        <f>ROUND((Source!FX103/100)*((ROUND(Source!AF103*Source!I103, 0)+ROUND(Source!AE103*Source!I103, 0))), 0)</f>
        <v>0</v>
      </c>
      <c r="T325">
        <f>Source!X103</f>
        <v>0</v>
      </c>
      <c r="U325">
        <f>ROUND((Source!FY103/100)*((ROUND(Source!AF103*Source!I103, 0)+ROUND(Source!AE103*Source!I103, 0))), 0)</f>
        <v>0</v>
      </c>
      <c r="V325">
        <f>Source!Y103</f>
        <v>0</v>
      </c>
    </row>
    <row r="326" spans="1:26" ht="14.4">
      <c r="A326" s="39"/>
      <c r="B326" s="39"/>
      <c r="C326" s="40"/>
      <c r="D326" s="41" t="s">
        <v>969</v>
      </c>
      <c r="E326" s="42"/>
      <c r="F326" s="43"/>
      <c r="G326" s="44">
        <f>Source!AL103</f>
        <v>1496.7</v>
      </c>
      <c r="H326" s="45" t="str">
        <f>Source!DD103</f>
        <v/>
      </c>
      <c r="I326" s="46">
        <f>ROUND(Source!AC103*Source!I103, 0)</f>
        <v>1497</v>
      </c>
      <c r="J326" s="45"/>
      <c r="K326" s="45">
        <f>IF(Source!BC103&lt;&gt; 0, Source!BC103, 1)</f>
        <v>1</v>
      </c>
      <c r="L326" s="46">
        <f>Source!P103</f>
        <v>1497</v>
      </c>
      <c r="M326" s="52"/>
    </row>
    <row r="327" spans="1:26" ht="13.8">
      <c r="H327" s="93">
        <f>ROUND(Source!AC103*Source!I103, 0)+ROUND(Source!AF103*Source!I103, 0)+ROUND(Source!AD103*Source!I103, 0)</f>
        <v>1497</v>
      </c>
      <c r="I327" s="93"/>
      <c r="K327" s="93">
        <f>Source!O103</f>
        <v>1497</v>
      </c>
      <c r="L327" s="93"/>
      <c r="M327" s="38">
        <f>Source!U103</f>
        <v>0</v>
      </c>
      <c r="O327" s="37">
        <f>H327</f>
        <v>1497</v>
      </c>
      <c r="P327" s="37">
        <f>K327</f>
        <v>1497</v>
      </c>
      <c r="Q327" s="48">
        <f>M327</f>
        <v>0</v>
      </c>
      <c r="W327">
        <f>IF(Source!BI103&lt;=1,H327, 0)</f>
        <v>1497</v>
      </c>
      <c r="X327">
        <f>IF(Source!BI103=2,H327, 0)</f>
        <v>0</v>
      </c>
      <c r="Y327">
        <f>IF(Source!BI103=3,H327, 0)</f>
        <v>0</v>
      </c>
      <c r="Z327">
        <f>IF(Source!BI103=4,H327, 0)</f>
        <v>0</v>
      </c>
    </row>
    <row r="328" spans="1:26" ht="69.599999999999994">
      <c r="A328" s="27">
        <v>42</v>
      </c>
      <c r="B328" s="27" t="str">
        <f>Source!E104</f>
        <v>40</v>
      </c>
      <c r="C328" s="28" t="str">
        <f>Source!F104</f>
        <v>10-05-009-1</v>
      </c>
      <c r="D328" s="25" t="str">
        <f>Source!G104</f>
        <v>Облицовка стен по системе «КНАУФ» по одинарному металлическому каркасу из ПН и ПС профилей гипсокартонными листами в один слой (С 625) оконным проемом</v>
      </c>
      <c r="E328" s="30" t="str">
        <f>Source!H104</f>
        <v>100 м2 стен (за вычетом проемов)</v>
      </c>
      <c r="F328" s="10">
        <f>Source!I104</f>
        <v>2.1000000000000001E-2</v>
      </c>
      <c r="G328" s="32">
        <f>IF(Source!AK104&lt;&gt; 0, Source!AK104,Source!AL104 + Source!AM104 + Source!AO104)</f>
        <v>5852.26</v>
      </c>
      <c r="H328" s="31"/>
      <c r="I328" s="33"/>
      <c r="J328" s="31" t="str">
        <f>Source!BO104</f>
        <v>10-05-009-1</v>
      </c>
      <c r="K328" s="31"/>
      <c r="L328" s="33"/>
      <c r="M328" s="34"/>
      <c r="S328">
        <f>ROUND((Source!FX104/100)*((ROUND(Source!AF104*Source!I104, 0)+ROUND(Source!AE104*Source!I104, 0))), 0)</f>
        <v>11</v>
      </c>
      <c r="T328">
        <f>Source!X104</f>
        <v>225</v>
      </c>
      <c r="U328">
        <f>ROUND((Source!FY104/100)*((ROUND(Source!AF104*Source!I104, 0)+ROUND(Source!AE104*Source!I104, 0))), 0)</f>
        <v>7</v>
      </c>
      <c r="V328">
        <f>Source!Y104</f>
        <v>146</v>
      </c>
    </row>
    <row r="329" spans="1:26">
      <c r="D329" s="49" t="str">
        <f>"Объем: "&amp;Source!I104&amp;"=2,1/"&amp;"100"</f>
        <v>Объем: 0,021=2,1/100</v>
      </c>
    </row>
    <row r="330" spans="1:26" ht="14.4">
      <c r="A330" s="27"/>
      <c r="B330" s="27"/>
      <c r="C330" s="28"/>
      <c r="D330" s="25" t="s">
        <v>962</v>
      </c>
      <c r="E330" s="30"/>
      <c r="F330" s="10"/>
      <c r="G330" s="32">
        <f>Source!AO104</f>
        <v>602.08000000000004</v>
      </c>
      <c r="H330" s="31" t="str">
        <f>Source!DG104</f>
        <v>)*1,15</v>
      </c>
      <c r="I330" s="33">
        <f>ROUND(Source!AF104*Source!I104, 0)</f>
        <v>15</v>
      </c>
      <c r="J330" s="31"/>
      <c r="K330" s="31">
        <f>IF(Source!BA104&lt;&gt; 0, Source!BA104, 1)</f>
        <v>20.88</v>
      </c>
      <c r="L330" s="33">
        <f>Source!S104</f>
        <v>304</v>
      </c>
      <c r="M330" s="34"/>
      <c r="R330">
        <f>I330</f>
        <v>15</v>
      </c>
    </row>
    <row r="331" spans="1:26" ht="14.4">
      <c r="A331" s="27"/>
      <c r="B331" s="27"/>
      <c r="C331" s="28"/>
      <c r="D331" s="25" t="s">
        <v>125</v>
      </c>
      <c r="E331" s="30"/>
      <c r="F331" s="10"/>
      <c r="G331" s="32">
        <f>Source!AM104</f>
        <v>18.34</v>
      </c>
      <c r="H331" s="31" t="str">
        <f>Source!DE104</f>
        <v>)*1,25</v>
      </c>
      <c r="I331" s="33">
        <f>ROUND(Source!AD104*Source!I104, 0)</f>
        <v>0</v>
      </c>
      <c r="J331" s="31"/>
      <c r="K331" s="31">
        <f>IF(Source!BB104&lt;&gt; 0, Source!BB104, 1)</f>
        <v>3.57</v>
      </c>
      <c r="L331" s="33">
        <f>Source!Q104</f>
        <v>2</v>
      </c>
      <c r="M331" s="34"/>
    </row>
    <row r="332" spans="1:26" ht="14.4">
      <c r="A332" s="27"/>
      <c r="B332" s="27"/>
      <c r="C332" s="28"/>
      <c r="D332" s="25" t="s">
        <v>969</v>
      </c>
      <c r="E332" s="30"/>
      <c r="F332" s="10"/>
      <c r="G332" s="32">
        <f>Source!AL104</f>
        <v>5231.84</v>
      </c>
      <c r="H332" s="31" t="str">
        <f>Source!DD104</f>
        <v/>
      </c>
      <c r="I332" s="33">
        <f>ROUND(Source!AC104*Source!I104, 0)</f>
        <v>110</v>
      </c>
      <c r="J332" s="31"/>
      <c r="K332" s="31">
        <f>IF(Source!BC104&lt;&gt; 0, Source!BC104, 1)</f>
        <v>5.65</v>
      </c>
      <c r="L332" s="33">
        <f>Source!P104</f>
        <v>621</v>
      </c>
      <c r="M332" s="34"/>
    </row>
    <row r="333" spans="1:26" ht="14.4">
      <c r="A333" s="27"/>
      <c r="B333" s="27"/>
      <c r="C333" s="28"/>
      <c r="D333" s="25" t="s">
        <v>964</v>
      </c>
      <c r="E333" s="30" t="s">
        <v>965</v>
      </c>
      <c r="F333" s="10">
        <f>Source!BZ104</f>
        <v>118</v>
      </c>
      <c r="G333" s="92" t="str">
        <f>CONCATENATE(" )", Source!DL104, Source!FT104, "=", Source!FX104)</f>
        <v xml:space="preserve"> )*0,9*0,7=74,34</v>
      </c>
      <c r="H333" s="90"/>
      <c r="I333" s="33">
        <f>SUM(S328:S335)</f>
        <v>11</v>
      </c>
      <c r="J333" s="35"/>
      <c r="K333" s="25">
        <f>Source!AT104</f>
        <v>74</v>
      </c>
      <c r="L333" s="33">
        <f>SUM(T328:T335)</f>
        <v>225</v>
      </c>
      <c r="M333" s="34"/>
    </row>
    <row r="334" spans="1:26" ht="14.4">
      <c r="A334" s="27"/>
      <c r="B334" s="27"/>
      <c r="C334" s="28"/>
      <c r="D334" s="25" t="s">
        <v>966</v>
      </c>
      <c r="E334" s="30" t="s">
        <v>965</v>
      </c>
      <c r="F334" s="10">
        <f>Source!CA104</f>
        <v>63</v>
      </c>
      <c r="G334" s="92" t="str">
        <f>CONCATENATE(" )", Source!DM104, Source!FU104, "=", Source!FY104)</f>
        <v xml:space="preserve"> )*0,85*0,9=48,195</v>
      </c>
      <c r="H334" s="90"/>
      <c r="I334" s="33">
        <f>SUM(U328:U335)</f>
        <v>7</v>
      </c>
      <c r="J334" s="35"/>
      <c r="K334" s="25">
        <f>Source!AU104</f>
        <v>48</v>
      </c>
      <c r="L334" s="33">
        <f>SUM(V328:V335)</f>
        <v>146</v>
      </c>
      <c r="M334" s="34"/>
    </row>
    <row r="335" spans="1:26" ht="14.4">
      <c r="A335" s="39"/>
      <c r="B335" s="39"/>
      <c r="C335" s="40"/>
      <c r="D335" s="41" t="s">
        <v>967</v>
      </c>
      <c r="E335" s="42" t="s">
        <v>968</v>
      </c>
      <c r="F335" s="43">
        <f>Source!AQ104</f>
        <v>71</v>
      </c>
      <c r="G335" s="44"/>
      <c r="H335" s="45" t="str">
        <f>Source!DI104</f>
        <v>)*1,15</v>
      </c>
      <c r="I335" s="46"/>
      <c r="J335" s="45"/>
      <c r="K335" s="45"/>
      <c r="L335" s="46"/>
      <c r="M335" s="47">
        <f>Source!U104</f>
        <v>1.71465</v>
      </c>
    </row>
    <row r="336" spans="1:26" ht="13.8">
      <c r="H336" s="93">
        <f>ROUND(Source!AC104*Source!I104, 0)+ROUND(Source!AF104*Source!I104, 0)+ROUND(Source!AD104*Source!I104, 0)+SUM(I333:I334)</f>
        <v>143</v>
      </c>
      <c r="I336" s="93"/>
      <c r="K336" s="93">
        <f>Source!O104+SUM(L333:L334)</f>
        <v>1298</v>
      </c>
      <c r="L336" s="93"/>
      <c r="M336" s="38">
        <f>Source!U104</f>
        <v>1.71465</v>
      </c>
      <c r="O336" s="37">
        <f>H336</f>
        <v>143</v>
      </c>
      <c r="P336" s="37">
        <f>K336</f>
        <v>1298</v>
      </c>
      <c r="Q336" s="48">
        <f>M336</f>
        <v>1.71465</v>
      </c>
      <c r="W336">
        <f>IF(Source!BI104&lt;=1,H336, 0)</f>
        <v>143</v>
      </c>
      <c r="X336">
        <f>IF(Source!BI104=2,H336, 0)</f>
        <v>0</v>
      </c>
      <c r="Y336">
        <f>IF(Source!BI104=3,H336, 0)</f>
        <v>0</v>
      </c>
      <c r="Z336">
        <f>IF(Source!BI104=4,H336, 0)</f>
        <v>0</v>
      </c>
    </row>
    <row r="338" spans="1:33" ht="13.8">
      <c r="A338" s="96" t="str">
        <f>CONCATENATE("Итого по разделу: ", Source!G106)</f>
        <v>Итого по разделу: Отделочные работы</v>
      </c>
      <c r="B338" s="96"/>
      <c r="C338" s="96"/>
      <c r="D338" s="96"/>
      <c r="E338" s="96"/>
      <c r="F338" s="96"/>
      <c r="G338" s="96"/>
      <c r="H338" s="93">
        <f>SUM(O156:O337)</f>
        <v>28019</v>
      </c>
      <c r="I338" s="84"/>
      <c r="J338" s="50"/>
      <c r="K338" s="93">
        <f>SUM(P156:P337)</f>
        <v>100520</v>
      </c>
      <c r="L338" s="84"/>
      <c r="M338" s="38">
        <f>SUM(Q156:Q337)</f>
        <v>105.3660328</v>
      </c>
      <c r="AG338" s="51" t="str">
        <f>CONCATENATE("Итого по разделу: ", Source!G106)</f>
        <v>Итого по разделу: Отделочные работы</v>
      </c>
    </row>
    <row r="340" spans="1:33" ht="13.8">
      <c r="D340" s="25" t="str">
        <f>Source!H134</f>
        <v>Итого</v>
      </c>
      <c r="K340" s="97">
        <f>Source!F134</f>
        <v>100520</v>
      </c>
      <c r="L340" s="97"/>
    </row>
    <row r="343" spans="1:33" ht="16.8">
      <c r="A343" s="95" t="str">
        <f>CONCATENATE("Раздел: ", Source!G136)</f>
        <v>Раздел: Склад аптеки</v>
      </c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AE343" s="26" t="str">
        <f>CONCATENATE("Раздел: ", Source!G136)</f>
        <v>Раздел: Склад аптеки</v>
      </c>
    </row>
    <row r="344" spans="1:33" ht="14.4">
      <c r="D344" s="98" t="str">
        <f>Source!G140</f>
        <v>Демонтажные работы</v>
      </c>
      <c r="E344" s="98"/>
      <c r="F344" s="98"/>
      <c r="G344" s="98"/>
      <c r="H344" s="98"/>
      <c r="I344" s="98"/>
      <c r="J344" s="98"/>
      <c r="K344" s="98"/>
      <c r="L344" s="98"/>
      <c r="M344" s="98"/>
      <c r="AF344" s="29" t="str">
        <f>Source!G140</f>
        <v>Демонтажные работы</v>
      </c>
    </row>
    <row r="345" spans="1:33" ht="43.2">
      <c r="A345" s="27">
        <v>43</v>
      </c>
      <c r="B345" s="27" t="str">
        <f>Source!E141</f>
        <v>41</v>
      </c>
      <c r="C345" s="28" t="str">
        <f>Source!F141</f>
        <v>57-2-1</v>
      </c>
      <c r="D345" s="25" t="str">
        <f>Source!G141</f>
        <v>Разборка покрытий полов из линолеума и релина</v>
      </c>
      <c r="E345" s="30" t="str">
        <f>Source!H141</f>
        <v>100 м2 покрытия</v>
      </c>
      <c r="F345" s="10">
        <f>Source!I141</f>
        <v>0.35880000000000001</v>
      </c>
      <c r="G345" s="32">
        <f>IF(Source!AK141&lt;&gt; 0, Source!AK141,Source!AL141 + Source!AM141 + Source!AO141)</f>
        <v>87.2</v>
      </c>
      <c r="H345" s="31"/>
      <c r="I345" s="33"/>
      <c r="J345" s="31" t="str">
        <f>Source!BO141</f>
        <v>57-2-1</v>
      </c>
      <c r="K345" s="31"/>
      <c r="L345" s="33"/>
      <c r="M345" s="34"/>
      <c r="S345">
        <f>ROUND((Source!FX141/100)*((ROUND(Source!AF141*Source!I141, 0)+ROUND(Source!AE141*Source!I141, 0))), 0)</f>
        <v>17</v>
      </c>
      <c r="T345">
        <f>Source!X141</f>
        <v>355</v>
      </c>
      <c r="U345">
        <f>ROUND((Source!FY141/100)*((ROUND(Source!AF141*Source!I141, 0)+ROUND(Source!AE141*Source!I141, 0))), 0)</f>
        <v>19</v>
      </c>
      <c r="V345">
        <f>Source!Y141</f>
        <v>387</v>
      </c>
    </row>
    <row r="346" spans="1:33">
      <c r="D346" s="49" t="str">
        <f>"Объем: "&amp;Source!I141&amp;"=35,88/"&amp;"100"</f>
        <v>Объем: 0,3588=35,88/100</v>
      </c>
    </row>
    <row r="347" spans="1:33" ht="14.4">
      <c r="A347" s="27"/>
      <c r="B347" s="27"/>
      <c r="C347" s="28"/>
      <c r="D347" s="25" t="s">
        <v>962</v>
      </c>
      <c r="E347" s="30"/>
      <c r="F347" s="10"/>
      <c r="G347" s="32">
        <f>Source!AO141</f>
        <v>83.03</v>
      </c>
      <c r="H347" s="31" t="str">
        <f>Source!DG141</f>
        <v/>
      </c>
      <c r="I347" s="33">
        <f>ROUND(Source!AF141*Source!I141, 0)</f>
        <v>30</v>
      </c>
      <c r="J347" s="31"/>
      <c r="K347" s="31">
        <f>IF(Source!BA141&lt;&gt; 0, Source!BA141, 1)</f>
        <v>20.88</v>
      </c>
      <c r="L347" s="33">
        <f>Source!S141</f>
        <v>622</v>
      </c>
      <c r="M347" s="34"/>
      <c r="R347">
        <f>I347</f>
        <v>30</v>
      </c>
    </row>
    <row r="348" spans="1:33" ht="14.4">
      <c r="A348" s="27"/>
      <c r="B348" s="27"/>
      <c r="C348" s="28"/>
      <c r="D348" s="25" t="s">
        <v>125</v>
      </c>
      <c r="E348" s="30"/>
      <c r="F348" s="10"/>
      <c r="G348" s="32">
        <f>Source!AM141</f>
        <v>4.17</v>
      </c>
      <c r="H348" s="31" t="str">
        <f>Source!DE141</f>
        <v/>
      </c>
      <c r="I348" s="33">
        <f>ROUND(Source!AD141*Source!I141, 0)</f>
        <v>1</v>
      </c>
      <c r="J348" s="31"/>
      <c r="K348" s="31">
        <f>IF(Source!BB141&lt;&gt; 0, Source!BB141, 1)</f>
        <v>10.220000000000001</v>
      </c>
      <c r="L348" s="33">
        <f>Source!Q141</f>
        <v>15</v>
      </c>
      <c r="M348" s="34"/>
    </row>
    <row r="349" spans="1:33" ht="14.4">
      <c r="A349" s="27"/>
      <c r="B349" s="27"/>
      <c r="C349" s="28"/>
      <c r="D349" s="25" t="s">
        <v>963</v>
      </c>
      <c r="E349" s="30"/>
      <c r="F349" s="10"/>
      <c r="G349" s="32">
        <f>Source!AN141</f>
        <v>1.57</v>
      </c>
      <c r="H349" s="31" t="str">
        <f>Source!DF141</f>
        <v/>
      </c>
      <c r="I349" s="33">
        <f>ROUND(Source!AE141*Source!I141, 0)</f>
        <v>1</v>
      </c>
      <c r="J349" s="31"/>
      <c r="K349" s="31">
        <f>IF(Source!BS141&lt;&gt; 0, Source!BS141, 1)</f>
        <v>20.88</v>
      </c>
      <c r="L349" s="33">
        <f>Source!R141</f>
        <v>12</v>
      </c>
      <c r="M349" s="34"/>
      <c r="R349">
        <f>I349</f>
        <v>1</v>
      </c>
    </row>
    <row r="350" spans="1:33" ht="14.4">
      <c r="A350" s="27"/>
      <c r="B350" s="27"/>
      <c r="C350" s="28"/>
      <c r="D350" s="25" t="s">
        <v>964</v>
      </c>
      <c r="E350" s="30" t="s">
        <v>965</v>
      </c>
      <c r="F350" s="10">
        <f>Source!BZ141</f>
        <v>80</v>
      </c>
      <c r="G350" s="92" t="str">
        <f>CONCATENATE(" )", Source!DL141, Source!FT141, "=", Source!FX141)</f>
        <v xml:space="preserve"> )*0,7=56</v>
      </c>
      <c r="H350" s="90"/>
      <c r="I350" s="33">
        <f>SUM(S345:S352)</f>
        <v>17</v>
      </c>
      <c r="J350" s="35"/>
      <c r="K350" s="25">
        <f>Source!AT141</f>
        <v>56</v>
      </c>
      <c r="L350" s="33">
        <f>SUM(T345:T352)</f>
        <v>355</v>
      </c>
      <c r="M350" s="34"/>
    </row>
    <row r="351" spans="1:33" ht="14.4">
      <c r="A351" s="27"/>
      <c r="B351" s="27"/>
      <c r="C351" s="28"/>
      <c r="D351" s="25" t="s">
        <v>966</v>
      </c>
      <c r="E351" s="30" t="s">
        <v>965</v>
      </c>
      <c r="F351" s="10">
        <f>Source!CA141</f>
        <v>68</v>
      </c>
      <c r="G351" s="92" t="str">
        <f>CONCATENATE(" )", Source!DM141, Source!FU141, "=", Source!FY141)</f>
        <v xml:space="preserve"> )*0,9=61,2</v>
      </c>
      <c r="H351" s="90"/>
      <c r="I351" s="33">
        <f>SUM(U345:U352)</f>
        <v>19</v>
      </c>
      <c r="J351" s="35"/>
      <c r="K351" s="25">
        <f>Source!AU141</f>
        <v>61</v>
      </c>
      <c r="L351" s="33">
        <f>SUM(V345:V352)</f>
        <v>387</v>
      </c>
      <c r="M351" s="34"/>
    </row>
    <row r="352" spans="1:33" ht="14.4">
      <c r="A352" s="39"/>
      <c r="B352" s="39"/>
      <c r="C352" s="40"/>
      <c r="D352" s="41" t="s">
        <v>967</v>
      </c>
      <c r="E352" s="42" t="s">
        <v>968</v>
      </c>
      <c r="F352" s="43">
        <f>Source!AQ141</f>
        <v>11.39</v>
      </c>
      <c r="G352" s="44"/>
      <c r="H352" s="45" t="str">
        <f>Source!DI141</f>
        <v/>
      </c>
      <c r="I352" s="46"/>
      <c r="J352" s="45"/>
      <c r="K352" s="45"/>
      <c r="L352" s="46"/>
      <c r="M352" s="47">
        <f>Source!U141</f>
        <v>4.0867320000000005</v>
      </c>
    </row>
    <row r="353" spans="1:26" ht="13.8">
      <c r="H353" s="93">
        <f>ROUND(Source!AC141*Source!I141, 0)+ROUND(Source!AF141*Source!I141, 0)+ROUND(Source!AD141*Source!I141, 0)+SUM(I350:I351)</f>
        <v>67</v>
      </c>
      <c r="I353" s="93"/>
      <c r="K353" s="93">
        <f>Source!O141+SUM(L350:L351)</f>
        <v>1379</v>
      </c>
      <c r="L353" s="93"/>
      <c r="M353" s="38">
        <f>Source!U141</f>
        <v>4.0867320000000005</v>
      </c>
      <c r="O353" s="37">
        <f>H353</f>
        <v>67</v>
      </c>
      <c r="P353" s="37">
        <f>K353</f>
        <v>1379</v>
      </c>
      <c r="Q353" s="48">
        <f>M353</f>
        <v>4.0867320000000005</v>
      </c>
      <c r="W353">
        <f>IF(Source!BI141&lt;=1,H353, 0)</f>
        <v>67</v>
      </c>
      <c r="X353">
        <f>IF(Source!BI141=2,H353, 0)</f>
        <v>0</v>
      </c>
      <c r="Y353">
        <f>IF(Source!BI141=3,H353, 0)</f>
        <v>0</v>
      </c>
      <c r="Z353">
        <f>IF(Source!BI141=4,H353, 0)</f>
        <v>0</v>
      </c>
    </row>
    <row r="354" spans="1:26" ht="43.2">
      <c r="A354" s="27">
        <v>44</v>
      </c>
      <c r="B354" s="27" t="str">
        <f>Source!E142</f>
        <v>42</v>
      </c>
      <c r="C354" s="28" t="str">
        <f>Source!F142</f>
        <v>57-3-1</v>
      </c>
      <c r="D354" s="25" t="str">
        <f>Source!G142</f>
        <v>Разборка плинтусов деревянных и из пластмассовых материалов</v>
      </c>
      <c r="E354" s="30" t="str">
        <f>Source!H142</f>
        <v>100 М ПЛИНТУСА</v>
      </c>
      <c r="F354" s="10">
        <f>Source!I142</f>
        <v>0.32</v>
      </c>
      <c r="G354" s="32">
        <f>IF(Source!AK142&lt;&gt; 0, Source!AK142,Source!AL142 + Source!AM142 + Source!AO142)</f>
        <v>27.48</v>
      </c>
      <c r="H354" s="31"/>
      <c r="I354" s="33"/>
      <c r="J354" s="31" t="str">
        <f>Source!BO142</f>
        <v>57-3-1</v>
      </c>
      <c r="K354" s="31"/>
      <c r="L354" s="33"/>
      <c r="M354" s="34"/>
      <c r="S354">
        <f>ROUND((Source!FX142/100)*((ROUND(Source!AF142*Source!I142, 0)+ROUND(Source!AE142*Source!I142, 0))), 0)</f>
        <v>5</v>
      </c>
      <c r="T354">
        <f>Source!X142</f>
        <v>103</v>
      </c>
      <c r="U354">
        <f>ROUND((Source!FY142/100)*((ROUND(Source!AF142*Source!I142, 0)+ROUND(Source!AE142*Source!I142, 0))), 0)</f>
        <v>6</v>
      </c>
      <c r="V354">
        <f>Source!Y142</f>
        <v>112</v>
      </c>
    </row>
    <row r="355" spans="1:26">
      <c r="D355" s="49" t="str">
        <f>"Объем: "&amp;Source!I142&amp;"=32/"&amp;"100"</f>
        <v>Объем: 0,32=32/100</v>
      </c>
    </row>
    <row r="356" spans="1:26" ht="14.4">
      <c r="A356" s="27"/>
      <c r="B356" s="27"/>
      <c r="C356" s="28"/>
      <c r="D356" s="25" t="s">
        <v>962</v>
      </c>
      <c r="E356" s="30"/>
      <c r="F356" s="10"/>
      <c r="G356" s="32">
        <f>Source!AO142</f>
        <v>27.48</v>
      </c>
      <c r="H356" s="31" t="str">
        <f>Source!DG142</f>
        <v/>
      </c>
      <c r="I356" s="33">
        <f>ROUND(Source!AF142*Source!I142, 0)</f>
        <v>9</v>
      </c>
      <c r="J356" s="31"/>
      <c r="K356" s="31">
        <f>IF(Source!BA142&lt;&gt; 0, Source!BA142, 1)</f>
        <v>20.88</v>
      </c>
      <c r="L356" s="33">
        <f>Source!S142</f>
        <v>184</v>
      </c>
      <c r="M356" s="34"/>
      <c r="R356">
        <f>I356</f>
        <v>9</v>
      </c>
    </row>
    <row r="357" spans="1:26" ht="14.4">
      <c r="A357" s="27"/>
      <c r="B357" s="27"/>
      <c r="C357" s="28"/>
      <c r="D357" s="25" t="s">
        <v>964</v>
      </c>
      <c r="E357" s="30" t="s">
        <v>965</v>
      </c>
      <c r="F357" s="10">
        <f>Source!BZ142</f>
        <v>80</v>
      </c>
      <c r="G357" s="92" t="str">
        <f>CONCATENATE(" )", Source!DL142, Source!FT142, "=", Source!FX142)</f>
        <v xml:space="preserve"> )*0,7=56</v>
      </c>
      <c r="H357" s="90"/>
      <c r="I357" s="33">
        <f>SUM(S354:S359)</f>
        <v>5</v>
      </c>
      <c r="J357" s="35"/>
      <c r="K357" s="25">
        <f>Source!AT142</f>
        <v>56</v>
      </c>
      <c r="L357" s="33">
        <f>SUM(T354:T359)</f>
        <v>103</v>
      </c>
      <c r="M357" s="34"/>
    </row>
    <row r="358" spans="1:26" ht="14.4">
      <c r="A358" s="27"/>
      <c r="B358" s="27"/>
      <c r="C358" s="28"/>
      <c r="D358" s="25" t="s">
        <v>966</v>
      </c>
      <c r="E358" s="30" t="s">
        <v>965</v>
      </c>
      <c r="F358" s="10">
        <f>Source!CA142</f>
        <v>68</v>
      </c>
      <c r="G358" s="92" t="str">
        <f>CONCATENATE(" )", Source!DM142, Source!FU142, "=", Source!FY142)</f>
        <v xml:space="preserve"> )*0,9=61,2</v>
      </c>
      <c r="H358" s="90"/>
      <c r="I358" s="33">
        <f>SUM(U354:U359)</f>
        <v>6</v>
      </c>
      <c r="J358" s="35"/>
      <c r="K358" s="25">
        <f>Source!AU142</f>
        <v>61</v>
      </c>
      <c r="L358" s="33">
        <f>SUM(V354:V359)</f>
        <v>112</v>
      </c>
      <c r="M358" s="34"/>
    </row>
    <row r="359" spans="1:26" ht="14.4">
      <c r="A359" s="39"/>
      <c r="B359" s="39"/>
      <c r="C359" s="40"/>
      <c r="D359" s="41" t="s">
        <v>967</v>
      </c>
      <c r="E359" s="42" t="s">
        <v>968</v>
      </c>
      <c r="F359" s="43">
        <f>Source!AQ142</f>
        <v>3.77</v>
      </c>
      <c r="G359" s="44"/>
      <c r="H359" s="45" t="str">
        <f>Source!DI142</f>
        <v/>
      </c>
      <c r="I359" s="46"/>
      <c r="J359" s="45"/>
      <c r="K359" s="45"/>
      <c r="L359" s="46"/>
      <c r="M359" s="47">
        <f>Source!U142</f>
        <v>1.2064000000000001</v>
      </c>
    </row>
    <row r="360" spans="1:26" ht="13.8">
      <c r="H360" s="93">
        <f>ROUND(Source!AC142*Source!I142, 0)+ROUND(Source!AF142*Source!I142, 0)+ROUND(Source!AD142*Source!I142, 0)+SUM(I357:I358)</f>
        <v>20</v>
      </c>
      <c r="I360" s="93"/>
      <c r="K360" s="93">
        <f>Source!O142+SUM(L357:L358)</f>
        <v>399</v>
      </c>
      <c r="L360" s="93"/>
      <c r="M360" s="38">
        <f>Source!U142</f>
        <v>1.2064000000000001</v>
      </c>
      <c r="O360" s="37">
        <f>H360</f>
        <v>20</v>
      </c>
      <c r="P360" s="37">
        <f>K360</f>
        <v>399</v>
      </c>
      <c r="Q360" s="48">
        <f>M360</f>
        <v>1.2064000000000001</v>
      </c>
      <c r="W360">
        <f>IF(Source!BI142&lt;=1,H360, 0)</f>
        <v>20</v>
      </c>
      <c r="X360">
        <f>IF(Source!BI142=2,H360, 0)</f>
        <v>0</v>
      </c>
      <c r="Y360">
        <f>IF(Source!BI142=3,H360, 0)</f>
        <v>0</v>
      </c>
      <c r="Z360">
        <f>IF(Source!BI142=4,H360, 0)</f>
        <v>0</v>
      </c>
    </row>
    <row r="361" spans="1:26" ht="28.8">
      <c r="A361" s="27">
        <v>45</v>
      </c>
      <c r="B361" s="27" t="str">
        <f>Source!E143</f>
        <v>43</v>
      </c>
      <c r="C361" s="28" t="str">
        <f>Source!F143</f>
        <v>53-1-1</v>
      </c>
      <c r="D361" s="25" t="str">
        <f>Source!G143</f>
        <v>Разборка обшивки неоштукатуренных деревянных стен</v>
      </c>
      <c r="E361" s="30" t="str">
        <f>Source!H143</f>
        <v>100 м2 стен</v>
      </c>
      <c r="F361" s="10">
        <f>Source!I143</f>
        <v>0.2074</v>
      </c>
      <c r="G361" s="32">
        <f>IF(Source!AK143&lt;&gt; 0, Source!AK143,Source!AL143 + Source!AM143 + Source!AO143)</f>
        <v>142.69999999999999</v>
      </c>
      <c r="H361" s="31"/>
      <c r="I361" s="33"/>
      <c r="J361" s="31" t="str">
        <f>Source!BO143</f>
        <v>53-1-1</v>
      </c>
      <c r="K361" s="31"/>
      <c r="L361" s="33"/>
      <c r="M361" s="34"/>
      <c r="S361">
        <f>ROUND((Source!FX143/100)*((ROUND(Source!AF143*Source!I143, 0)+ROUND(Source!AE143*Source!I143, 0))), 0)</f>
        <v>11</v>
      </c>
      <c r="T361">
        <f>Source!X143</f>
        <v>240</v>
      </c>
      <c r="U361">
        <f>ROUND((Source!FY143/100)*((ROUND(Source!AF143*Source!I143, 0)+ROUND(Source!AE143*Source!I143, 0))), 0)</f>
        <v>12</v>
      </c>
      <c r="V361">
        <f>Source!Y143</f>
        <v>252</v>
      </c>
    </row>
    <row r="362" spans="1:26">
      <c r="D362" s="49" t="str">
        <f>"Объем: "&amp;Source!I143&amp;"=20,74/"&amp;"100"</f>
        <v>Объем: 0,2074=20,74/100</v>
      </c>
    </row>
    <row r="363" spans="1:26" ht="14.4">
      <c r="A363" s="27"/>
      <c r="B363" s="27"/>
      <c r="C363" s="28"/>
      <c r="D363" s="25" t="s">
        <v>962</v>
      </c>
      <c r="E363" s="30"/>
      <c r="F363" s="10"/>
      <c r="G363" s="32">
        <f>Source!AO143</f>
        <v>86.84</v>
      </c>
      <c r="H363" s="31" t="str">
        <f>Source!DG143</f>
        <v/>
      </c>
      <c r="I363" s="33">
        <f>ROUND(Source!AF143*Source!I143, 0)</f>
        <v>18</v>
      </c>
      <c r="J363" s="31"/>
      <c r="K363" s="31">
        <f>IF(Source!BA143&lt;&gt; 0, Source!BA143, 1)</f>
        <v>20.88</v>
      </c>
      <c r="L363" s="33">
        <f>Source!S143</f>
        <v>376</v>
      </c>
      <c r="M363" s="34"/>
      <c r="R363">
        <f>I363</f>
        <v>18</v>
      </c>
    </row>
    <row r="364" spans="1:26" ht="14.4">
      <c r="A364" s="27"/>
      <c r="B364" s="27"/>
      <c r="C364" s="28"/>
      <c r="D364" s="25" t="s">
        <v>125</v>
      </c>
      <c r="E364" s="30"/>
      <c r="F364" s="10"/>
      <c r="G364" s="32">
        <f>Source!AM143</f>
        <v>55.86</v>
      </c>
      <c r="H364" s="31" t="str">
        <f>Source!DE143</f>
        <v/>
      </c>
      <c r="I364" s="33">
        <f>ROUND(Source!AD143*Source!I143, 0)</f>
        <v>12</v>
      </c>
      <c r="J364" s="31"/>
      <c r="K364" s="31">
        <f>IF(Source!BB143&lt;&gt; 0, Source!BB143, 1)</f>
        <v>7.91</v>
      </c>
      <c r="L364" s="33">
        <f>Source!Q143</f>
        <v>92</v>
      </c>
      <c r="M364" s="34"/>
    </row>
    <row r="365" spans="1:26" ht="14.4">
      <c r="A365" s="27"/>
      <c r="B365" s="27"/>
      <c r="C365" s="28"/>
      <c r="D365" s="25" t="s">
        <v>963</v>
      </c>
      <c r="E365" s="30"/>
      <c r="F365" s="10"/>
      <c r="G365" s="32">
        <f>Source!AN143</f>
        <v>5.45</v>
      </c>
      <c r="H365" s="31" t="str">
        <f>Source!DF143</f>
        <v/>
      </c>
      <c r="I365" s="33">
        <f>ROUND(Source!AE143*Source!I143, 0)</f>
        <v>1</v>
      </c>
      <c r="J365" s="31"/>
      <c r="K365" s="31">
        <f>IF(Source!BS143&lt;&gt; 0, Source!BS143, 1)</f>
        <v>20.88</v>
      </c>
      <c r="L365" s="33">
        <f>Source!R143</f>
        <v>24</v>
      </c>
      <c r="M365" s="34"/>
      <c r="R365">
        <f>I365</f>
        <v>1</v>
      </c>
    </row>
    <row r="366" spans="1:26" ht="14.4">
      <c r="A366" s="27"/>
      <c r="B366" s="27"/>
      <c r="C366" s="28"/>
      <c r="D366" s="25" t="s">
        <v>964</v>
      </c>
      <c r="E366" s="30" t="s">
        <v>965</v>
      </c>
      <c r="F366" s="10">
        <f>Source!BZ143</f>
        <v>86</v>
      </c>
      <c r="G366" s="92" t="str">
        <f>CONCATENATE(" )", Source!DL143, Source!FT143, "=", Source!FX143)</f>
        <v xml:space="preserve"> )*0,7=60,2</v>
      </c>
      <c r="H366" s="90"/>
      <c r="I366" s="33">
        <f>SUM(S361:S368)</f>
        <v>11</v>
      </c>
      <c r="J366" s="35"/>
      <c r="K366" s="25">
        <f>Source!AT143</f>
        <v>60</v>
      </c>
      <c r="L366" s="33">
        <f>SUM(T361:T368)</f>
        <v>240</v>
      </c>
      <c r="M366" s="34"/>
    </row>
    <row r="367" spans="1:26" ht="14.4">
      <c r="A367" s="27"/>
      <c r="B367" s="27"/>
      <c r="C367" s="28"/>
      <c r="D367" s="25" t="s">
        <v>966</v>
      </c>
      <c r="E367" s="30" t="s">
        <v>965</v>
      </c>
      <c r="F367" s="10">
        <f>Source!CA143</f>
        <v>70</v>
      </c>
      <c r="G367" s="92" t="str">
        <f>CONCATENATE(" )", Source!DM143, Source!FU143, "=", Source!FY143)</f>
        <v xml:space="preserve"> )*0,9=63</v>
      </c>
      <c r="H367" s="90"/>
      <c r="I367" s="33">
        <f>SUM(U361:U368)</f>
        <v>12</v>
      </c>
      <c r="J367" s="35"/>
      <c r="K367" s="25">
        <f>Source!AU143</f>
        <v>63</v>
      </c>
      <c r="L367" s="33">
        <f>SUM(V361:V368)</f>
        <v>252</v>
      </c>
      <c r="M367" s="34"/>
    </row>
    <row r="368" spans="1:26" ht="14.4">
      <c r="A368" s="39"/>
      <c r="B368" s="39"/>
      <c r="C368" s="40"/>
      <c r="D368" s="41" t="s">
        <v>967</v>
      </c>
      <c r="E368" s="42" t="s">
        <v>968</v>
      </c>
      <c r="F368" s="43">
        <f>Source!AQ143</f>
        <v>12.3</v>
      </c>
      <c r="G368" s="44"/>
      <c r="H368" s="45" t="str">
        <f>Source!DI143</f>
        <v/>
      </c>
      <c r="I368" s="46"/>
      <c r="J368" s="45"/>
      <c r="K368" s="45"/>
      <c r="L368" s="46"/>
      <c r="M368" s="47">
        <f>Source!U143</f>
        <v>2.5510200000000003</v>
      </c>
    </row>
    <row r="369" spans="1:26" ht="13.8">
      <c r="H369" s="93">
        <f>ROUND(Source!AC143*Source!I143, 0)+ROUND(Source!AF143*Source!I143, 0)+ROUND(Source!AD143*Source!I143, 0)+SUM(I366:I367)</f>
        <v>53</v>
      </c>
      <c r="I369" s="93"/>
      <c r="K369" s="93">
        <f>Source!O143+SUM(L366:L367)</f>
        <v>960</v>
      </c>
      <c r="L369" s="93"/>
      <c r="M369" s="38">
        <f>Source!U143</f>
        <v>2.5510200000000003</v>
      </c>
      <c r="O369" s="37">
        <f>H369</f>
        <v>53</v>
      </c>
      <c r="P369" s="37">
        <f>K369</f>
        <v>960</v>
      </c>
      <c r="Q369" s="48">
        <f>M369</f>
        <v>2.5510200000000003</v>
      </c>
      <c r="W369">
        <f>IF(Source!BI143&lt;=1,H369, 0)</f>
        <v>53</v>
      </c>
      <c r="X369">
        <f>IF(Source!BI143=2,H369, 0)</f>
        <v>0</v>
      </c>
      <c r="Y369">
        <f>IF(Source!BI143=3,H369, 0)</f>
        <v>0</v>
      </c>
      <c r="Z369">
        <f>IF(Source!BI143=4,H369, 0)</f>
        <v>0</v>
      </c>
    </row>
    <row r="370" spans="1:26" ht="28.2">
      <c r="A370" s="27">
        <v>46</v>
      </c>
      <c r="B370" s="27" t="str">
        <f>Source!E144</f>
        <v>44</v>
      </c>
      <c r="C370" s="28" t="str">
        <f>Source!F144</f>
        <v>46-04-012-3</v>
      </c>
      <c r="D370" s="25" t="str">
        <f>Source!G144</f>
        <v>Разборка деревянных заполнений проемов дверных и воротных</v>
      </c>
      <c r="E370" s="30" t="str">
        <f>Source!H144</f>
        <v>100 м2</v>
      </c>
      <c r="F370" s="10">
        <f>Source!I144</f>
        <v>5.33E-2</v>
      </c>
      <c r="G370" s="32">
        <f>IF(Source!AK144&lt;&gt; 0, Source!AK144,Source!AL144 + Source!AM144 + Source!AO144)</f>
        <v>1033.94</v>
      </c>
      <c r="H370" s="31"/>
      <c r="I370" s="33"/>
      <c r="J370" s="31" t="str">
        <f>Source!BO144</f>
        <v>46-04-012-3</v>
      </c>
      <c r="K370" s="31"/>
      <c r="L370" s="33"/>
      <c r="M370" s="34"/>
      <c r="S370">
        <f>ROUND((Source!FX144/100)*((ROUND(Source!AF144*Source!I144, 0)+ROUND(Source!AE144*Source!I144, 0))), 0)</f>
        <v>33</v>
      </c>
      <c r="T370">
        <f>Source!X144</f>
        <v>675</v>
      </c>
      <c r="U370">
        <f>ROUND((Source!FY144/100)*((ROUND(Source!AF144*Source!I144, 0)+ROUND(Source!AE144*Source!I144, 0))), 0)</f>
        <v>25</v>
      </c>
      <c r="V370">
        <f>Source!Y144</f>
        <v>528</v>
      </c>
    </row>
    <row r="371" spans="1:26">
      <c r="D371" s="49" t="str">
        <f>"Объем: "&amp;Source!I144&amp;"=5,33/"&amp;"100"</f>
        <v>Объем: 0,0533=5,33/100</v>
      </c>
    </row>
    <row r="372" spans="1:26" ht="14.4">
      <c r="A372" s="27"/>
      <c r="B372" s="27"/>
      <c r="C372" s="28"/>
      <c r="D372" s="25" t="s">
        <v>962</v>
      </c>
      <c r="E372" s="30"/>
      <c r="F372" s="10"/>
      <c r="G372" s="32">
        <f>Source!AO144</f>
        <v>785.56</v>
      </c>
      <c r="H372" s="31" t="str">
        <f>Source!DG144</f>
        <v/>
      </c>
      <c r="I372" s="33">
        <f>ROUND(Source!AF144*Source!I144, 0)</f>
        <v>42</v>
      </c>
      <c r="J372" s="31"/>
      <c r="K372" s="31">
        <f>IF(Source!BA144&lt;&gt; 0, Source!BA144, 1)</f>
        <v>20.88</v>
      </c>
      <c r="L372" s="33">
        <f>Source!S144</f>
        <v>874</v>
      </c>
      <c r="M372" s="34"/>
      <c r="R372">
        <f>I372</f>
        <v>42</v>
      </c>
    </row>
    <row r="373" spans="1:26" ht="14.4">
      <c r="A373" s="27"/>
      <c r="B373" s="27"/>
      <c r="C373" s="28"/>
      <c r="D373" s="25" t="s">
        <v>125</v>
      </c>
      <c r="E373" s="30"/>
      <c r="F373" s="10"/>
      <c r="G373" s="32">
        <f>Source!AM144</f>
        <v>248.38</v>
      </c>
      <c r="H373" s="31" t="str">
        <f>Source!DE144</f>
        <v/>
      </c>
      <c r="I373" s="33">
        <f>ROUND(Source!AD144*Source!I144, 0)</f>
        <v>13</v>
      </c>
      <c r="J373" s="31"/>
      <c r="K373" s="31">
        <f>IF(Source!BB144&lt;&gt; 0, Source!BB144, 1)</f>
        <v>10.210000000000001</v>
      </c>
      <c r="L373" s="33">
        <f>Source!Q144</f>
        <v>135</v>
      </c>
      <c r="M373" s="34"/>
    </row>
    <row r="374" spans="1:26" ht="14.4">
      <c r="A374" s="27"/>
      <c r="B374" s="27"/>
      <c r="C374" s="28"/>
      <c r="D374" s="25" t="s">
        <v>963</v>
      </c>
      <c r="E374" s="30"/>
      <c r="F374" s="10"/>
      <c r="G374" s="32">
        <f>Source!AN144</f>
        <v>93.65</v>
      </c>
      <c r="H374" s="31" t="str">
        <f>Source!DF144</f>
        <v/>
      </c>
      <c r="I374" s="33">
        <f>ROUND(Source!AE144*Source!I144, 0)</f>
        <v>5</v>
      </c>
      <c r="J374" s="31"/>
      <c r="K374" s="31">
        <f>IF(Source!BS144&lt;&gt; 0, Source!BS144, 1)</f>
        <v>20.88</v>
      </c>
      <c r="L374" s="33">
        <f>Source!R144</f>
        <v>104</v>
      </c>
      <c r="M374" s="34"/>
      <c r="R374">
        <f>I374</f>
        <v>5</v>
      </c>
    </row>
    <row r="375" spans="1:26" ht="14.4">
      <c r="A375" s="27"/>
      <c r="B375" s="27"/>
      <c r="C375" s="28"/>
      <c r="D375" s="25" t="s">
        <v>964</v>
      </c>
      <c r="E375" s="30" t="s">
        <v>965</v>
      </c>
      <c r="F375" s="10">
        <f>Source!BZ144</f>
        <v>110</v>
      </c>
      <c r="G375" s="92" t="str">
        <f>CONCATENATE(" )", Source!DL144, Source!FT144, "=", Source!FX144)</f>
        <v xml:space="preserve"> )*0,9*0,7=69,3</v>
      </c>
      <c r="H375" s="90"/>
      <c r="I375" s="33">
        <f>SUM(S370:S377)</f>
        <v>33</v>
      </c>
      <c r="J375" s="35"/>
      <c r="K375" s="25">
        <f>Source!AT144</f>
        <v>69</v>
      </c>
      <c r="L375" s="33">
        <f>SUM(T370:T377)</f>
        <v>675</v>
      </c>
      <c r="M375" s="34"/>
    </row>
    <row r="376" spans="1:26" ht="14.4">
      <c r="A376" s="27"/>
      <c r="B376" s="27"/>
      <c r="C376" s="28"/>
      <c r="D376" s="25" t="s">
        <v>966</v>
      </c>
      <c r="E376" s="30" t="s">
        <v>965</v>
      </c>
      <c r="F376" s="10">
        <f>Source!CA144</f>
        <v>70</v>
      </c>
      <c r="G376" s="92" t="str">
        <f>CONCATENATE(" )", Source!DM144, Source!FU144, "=", Source!FY144)</f>
        <v xml:space="preserve"> )*0,85*0,9=53,55</v>
      </c>
      <c r="H376" s="90"/>
      <c r="I376" s="33">
        <f>SUM(U370:U377)</f>
        <v>25</v>
      </c>
      <c r="J376" s="35"/>
      <c r="K376" s="25">
        <f>Source!AU144</f>
        <v>54</v>
      </c>
      <c r="L376" s="33">
        <f>SUM(V370:V377)</f>
        <v>528</v>
      </c>
      <c r="M376" s="34"/>
    </row>
    <row r="377" spans="1:26" ht="14.4">
      <c r="A377" s="39"/>
      <c r="B377" s="39"/>
      <c r="C377" s="40"/>
      <c r="D377" s="41" t="s">
        <v>967</v>
      </c>
      <c r="E377" s="42" t="s">
        <v>968</v>
      </c>
      <c r="F377" s="43">
        <f>Source!AQ144</f>
        <v>103.91</v>
      </c>
      <c r="G377" s="44"/>
      <c r="H377" s="45" t="str">
        <f>Source!DI144</f>
        <v/>
      </c>
      <c r="I377" s="46"/>
      <c r="J377" s="45"/>
      <c r="K377" s="45"/>
      <c r="L377" s="46"/>
      <c r="M377" s="47">
        <f>Source!U144</f>
        <v>5.5384029999999997</v>
      </c>
    </row>
    <row r="378" spans="1:26" ht="13.8">
      <c r="H378" s="93">
        <f>ROUND(Source!AC144*Source!I144, 0)+ROUND(Source!AF144*Source!I144, 0)+ROUND(Source!AD144*Source!I144, 0)+SUM(I375:I376)</f>
        <v>113</v>
      </c>
      <c r="I378" s="93"/>
      <c r="K378" s="93">
        <f>Source!O144+SUM(L375:L376)</f>
        <v>2212</v>
      </c>
      <c r="L378" s="93"/>
      <c r="M378" s="38">
        <f>Source!U144</f>
        <v>5.5384029999999997</v>
      </c>
      <c r="O378" s="37">
        <f>H378</f>
        <v>113</v>
      </c>
      <c r="P378" s="37">
        <f>K378</f>
        <v>2212</v>
      </c>
      <c r="Q378" s="48">
        <f>M378</f>
        <v>5.5384029999999997</v>
      </c>
      <c r="W378">
        <f>IF(Source!BI144&lt;=1,H378, 0)</f>
        <v>113</v>
      </c>
      <c r="X378">
        <f>IF(Source!BI144=2,H378, 0)</f>
        <v>0</v>
      </c>
      <c r="Y378">
        <f>IF(Source!BI144=3,H378, 0)</f>
        <v>0</v>
      </c>
      <c r="Z378">
        <f>IF(Source!BI144=4,H378, 0)</f>
        <v>0</v>
      </c>
    </row>
    <row r="379" spans="1:26" ht="72">
      <c r="A379" s="27">
        <v>47</v>
      </c>
      <c r="B379" s="27" t="str">
        <f>Source!E145</f>
        <v>45</v>
      </c>
      <c r="C379" s="28" t="str">
        <f>Source!F145</f>
        <v>62-41-1</v>
      </c>
      <c r="D379" s="25" t="str">
        <f>Source!G145</f>
        <v>Очистка вручную поверхности фасадов от перхлорвиниловых и масляных красок с земли и лесов (потолков)</v>
      </c>
      <c r="E379" s="30" t="str">
        <f>Source!H145</f>
        <v>100 М2 РАСЧИЩЕННОЙ ПОВЕРХНОСТИ</v>
      </c>
      <c r="F379" s="10">
        <f>Source!I145</f>
        <v>0.3518</v>
      </c>
      <c r="G379" s="32">
        <f>IF(Source!AK145&lt;&gt; 0, Source!AK145,Source!AL145 + Source!AM145 + Source!AO145)</f>
        <v>151.63</v>
      </c>
      <c r="H379" s="31"/>
      <c r="I379" s="33"/>
      <c r="J379" s="31" t="str">
        <f>Source!BO145</f>
        <v>62-41-1</v>
      </c>
      <c r="K379" s="31"/>
      <c r="L379" s="33"/>
      <c r="M379" s="34"/>
      <c r="S379">
        <f>ROUND((Source!FX145/100)*((ROUND(Source!AF145*Source!I145, 0)+ROUND(Source!AE145*Source!I145, 0))), 0)</f>
        <v>30</v>
      </c>
      <c r="T379">
        <f>Source!X145</f>
        <v>624</v>
      </c>
      <c r="U379">
        <f>ROUND((Source!FY145/100)*((ROUND(Source!AF145*Source!I145, 0)+ROUND(Source!AE145*Source!I145, 0))), 0)</f>
        <v>24</v>
      </c>
      <c r="V379">
        <f>Source!Y145</f>
        <v>501</v>
      </c>
    </row>
    <row r="380" spans="1:26">
      <c r="D380" s="49" t="str">
        <f>"Объем: "&amp;Source!I145&amp;"=35,18/"&amp;"100"</f>
        <v>Объем: 0,3518=35,18/100</v>
      </c>
    </row>
    <row r="381" spans="1:26" ht="14.4">
      <c r="A381" s="27"/>
      <c r="B381" s="27"/>
      <c r="C381" s="28"/>
      <c r="D381" s="25" t="s">
        <v>962</v>
      </c>
      <c r="E381" s="30"/>
      <c r="F381" s="10"/>
      <c r="G381" s="32">
        <f>Source!AO145</f>
        <v>151.63</v>
      </c>
      <c r="H381" s="31" t="str">
        <f>Source!DG145</f>
        <v/>
      </c>
      <c r="I381" s="33">
        <f>ROUND(Source!AF145*Source!I145, 0)</f>
        <v>53</v>
      </c>
      <c r="J381" s="31"/>
      <c r="K381" s="31">
        <f>IF(Source!BA145&lt;&gt; 0, Source!BA145, 1)</f>
        <v>20.88</v>
      </c>
      <c r="L381" s="33">
        <f>Source!S145</f>
        <v>1114</v>
      </c>
      <c r="M381" s="34"/>
      <c r="R381">
        <f>I381</f>
        <v>53</v>
      </c>
    </row>
    <row r="382" spans="1:26" ht="14.4">
      <c r="A382" s="27"/>
      <c r="B382" s="27"/>
      <c r="C382" s="28"/>
      <c r="D382" s="25" t="s">
        <v>964</v>
      </c>
      <c r="E382" s="30" t="s">
        <v>965</v>
      </c>
      <c r="F382" s="10">
        <f>Source!BZ145</f>
        <v>80</v>
      </c>
      <c r="G382" s="92" t="str">
        <f>CONCATENATE(" )", Source!DL145, Source!FT145, "=", Source!FX145)</f>
        <v xml:space="preserve"> )*0,7=56</v>
      </c>
      <c r="H382" s="90"/>
      <c r="I382" s="33">
        <f>SUM(S379:S384)</f>
        <v>30</v>
      </c>
      <c r="J382" s="35"/>
      <c r="K382" s="25">
        <f>Source!AT145</f>
        <v>56</v>
      </c>
      <c r="L382" s="33">
        <f>SUM(T379:T384)</f>
        <v>624</v>
      </c>
      <c r="M382" s="34"/>
    </row>
    <row r="383" spans="1:26" ht="14.4">
      <c r="A383" s="27"/>
      <c r="B383" s="27"/>
      <c r="C383" s="28"/>
      <c r="D383" s="25" t="s">
        <v>966</v>
      </c>
      <c r="E383" s="30" t="s">
        <v>965</v>
      </c>
      <c r="F383" s="10">
        <f>Source!CA145</f>
        <v>50</v>
      </c>
      <c r="G383" s="92" t="str">
        <f>CONCATENATE(" )", Source!DM145, Source!FU145, "=", Source!FY145)</f>
        <v xml:space="preserve"> )*0,9=45</v>
      </c>
      <c r="H383" s="90"/>
      <c r="I383" s="33">
        <f>SUM(U379:U384)</f>
        <v>24</v>
      </c>
      <c r="J383" s="35"/>
      <c r="K383" s="25">
        <f>Source!AU145</f>
        <v>45</v>
      </c>
      <c r="L383" s="33">
        <f>SUM(V379:V384)</f>
        <v>501</v>
      </c>
      <c r="M383" s="34"/>
    </row>
    <row r="384" spans="1:26" ht="14.4">
      <c r="A384" s="39"/>
      <c r="B384" s="39"/>
      <c r="C384" s="40"/>
      <c r="D384" s="41" t="s">
        <v>967</v>
      </c>
      <c r="E384" s="42" t="s">
        <v>968</v>
      </c>
      <c r="F384" s="43">
        <f>Source!AQ145</f>
        <v>20.8</v>
      </c>
      <c r="G384" s="44"/>
      <c r="H384" s="45" t="str">
        <f>Source!DI145</f>
        <v/>
      </c>
      <c r="I384" s="46"/>
      <c r="J384" s="45"/>
      <c r="K384" s="45"/>
      <c r="L384" s="46"/>
      <c r="M384" s="47">
        <f>Source!U145</f>
        <v>7.3174400000000004</v>
      </c>
    </row>
    <row r="385" spans="1:26" ht="13.8">
      <c r="H385" s="93">
        <f>ROUND(Source!AC145*Source!I145, 0)+ROUND(Source!AF145*Source!I145, 0)+ROUND(Source!AD145*Source!I145, 0)+SUM(I382:I383)</f>
        <v>107</v>
      </c>
      <c r="I385" s="93"/>
      <c r="K385" s="93">
        <f>Source!O145+SUM(L382:L383)</f>
        <v>2239</v>
      </c>
      <c r="L385" s="93"/>
      <c r="M385" s="38">
        <f>Source!U145</f>
        <v>7.3174400000000004</v>
      </c>
      <c r="O385" s="37">
        <f>H385</f>
        <v>107</v>
      </c>
      <c r="P385" s="37">
        <f>K385</f>
        <v>2239</v>
      </c>
      <c r="Q385" s="48">
        <f>M385</f>
        <v>7.3174400000000004</v>
      </c>
      <c r="W385">
        <f>IF(Source!BI145&lt;=1,H385, 0)</f>
        <v>107</v>
      </c>
      <c r="X385">
        <f>IF(Source!BI145=2,H385, 0)</f>
        <v>0</v>
      </c>
      <c r="Y385">
        <f>IF(Source!BI145=3,H385, 0)</f>
        <v>0</v>
      </c>
      <c r="Z385">
        <f>IF(Source!BI145=4,H385, 0)</f>
        <v>0</v>
      </c>
    </row>
    <row r="386" spans="1:26" ht="72">
      <c r="A386" s="27">
        <v>48</v>
      </c>
      <c r="B386" s="27" t="str">
        <f>Source!E146</f>
        <v>46</v>
      </c>
      <c r="C386" s="28" t="str">
        <f>Source!F146</f>
        <v>62-41-1</v>
      </c>
      <c r="D386" s="25" t="str">
        <f>Source!G146</f>
        <v>Очистка вручную поверхности фасадов от перхлорвиниловых и масляных красок с земли и лесов (стен)</v>
      </c>
      <c r="E386" s="30" t="str">
        <f>Source!H146</f>
        <v>100 М2 РАСЧИЩЕННОЙ ПОВЕРХНОСТИ</v>
      </c>
      <c r="F386" s="10">
        <f>Source!I146</f>
        <v>0.46</v>
      </c>
      <c r="G386" s="32">
        <f>IF(Source!AK146&lt;&gt; 0, Source!AK146,Source!AL146 + Source!AM146 + Source!AO146)</f>
        <v>151.63</v>
      </c>
      <c r="H386" s="31"/>
      <c r="I386" s="33"/>
      <c r="J386" s="31" t="str">
        <f>Source!BO146</f>
        <v>62-41-1</v>
      </c>
      <c r="K386" s="31"/>
      <c r="L386" s="33"/>
      <c r="M386" s="34"/>
      <c r="S386">
        <f>ROUND((Source!FX146/100)*((ROUND(Source!AF146*Source!I146, 0)+ROUND(Source!AE146*Source!I146, 0))), 0)</f>
        <v>39</v>
      </c>
      <c r="T386">
        <f>Source!X146</f>
        <v>815</v>
      </c>
      <c r="U386">
        <f>ROUND((Source!FY146/100)*((ROUND(Source!AF146*Source!I146, 0)+ROUND(Source!AE146*Source!I146, 0))), 0)</f>
        <v>32</v>
      </c>
      <c r="V386">
        <f>Source!Y146</f>
        <v>655</v>
      </c>
    </row>
    <row r="387" spans="1:26">
      <c r="D387" s="49" t="str">
        <f>"Объем: "&amp;Source!I146&amp;"=46/"&amp;"100"</f>
        <v>Объем: 0,46=46/100</v>
      </c>
    </row>
    <row r="388" spans="1:26" ht="14.4">
      <c r="A388" s="27"/>
      <c r="B388" s="27"/>
      <c r="C388" s="28"/>
      <c r="D388" s="25" t="s">
        <v>962</v>
      </c>
      <c r="E388" s="30"/>
      <c r="F388" s="10"/>
      <c r="G388" s="32">
        <f>Source!AO146</f>
        <v>151.63</v>
      </c>
      <c r="H388" s="31" t="str">
        <f>Source!DG146</f>
        <v/>
      </c>
      <c r="I388" s="33">
        <f>ROUND(Source!AF146*Source!I146, 0)</f>
        <v>70</v>
      </c>
      <c r="J388" s="31"/>
      <c r="K388" s="31">
        <f>IF(Source!BA146&lt;&gt; 0, Source!BA146, 1)</f>
        <v>20.88</v>
      </c>
      <c r="L388" s="33">
        <f>Source!S146</f>
        <v>1456</v>
      </c>
      <c r="M388" s="34"/>
      <c r="R388">
        <f>I388</f>
        <v>70</v>
      </c>
    </row>
    <row r="389" spans="1:26" ht="14.4">
      <c r="A389" s="27"/>
      <c r="B389" s="27"/>
      <c r="C389" s="28"/>
      <c r="D389" s="25" t="s">
        <v>964</v>
      </c>
      <c r="E389" s="30" t="s">
        <v>965</v>
      </c>
      <c r="F389" s="10">
        <f>Source!BZ146</f>
        <v>80</v>
      </c>
      <c r="G389" s="92" t="str">
        <f>CONCATENATE(" )", Source!DL146, Source!FT146, "=", Source!FX146)</f>
        <v xml:space="preserve"> )*0,7=56</v>
      </c>
      <c r="H389" s="90"/>
      <c r="I389" s="33">
        <f>SUM(S386:S391)</f>
        <v>39</v>
      </c>
      <c r="J389" s="35"/>
      <c r="K389" s="25">
        <f>Source!AT146</f>
        <v>56</v>
      </c>
      <c r="L389" s="33">
        <f>SUM(T386:T391)</f>
        <v>815</v>
      </c>
      <c r="M389" s="34"/>
    </row>
    <row r="390" spans="1:26" ht="14.4">
      <c r="A390" s="27"/>
      <c r="B390" s="27"/>
      <c r="C390" s="28"/>
      <c r="D390" s="25" t="s">
        <v>966</v>
      </c>
      <c r="E390" s="30" t="s">
        <v>965</v>
      </c>
      <c r="F390" s="10">
        <f>Source!CA146</f>
        <v>50</v>
      </c>
      <c r="G390" s="92" t="str">
        <f>CONCATENATE(" )", Source!DM146, Source!FU146, "=", Source!FY146)</f>
        <v xml:space="preserve"> )*0,9=45</v>
      </c>
      <c r="H390" s="90"/>
      <c r="I390" s="33">
        <f>SUM(U386:U391)</f>
        <v>32</v>
      </c>
      <c r="J390" s="35"/>
      <c r="K390" s="25">
        <f>Source!AU146</f>
        <v>45</v>
      </c>
      <c r="L390" s="33">
        <f>SUM(V386:V391)</f>
        <v>655</v>
      </c>
      <c r="M390" s="34"/>
    </row>
    <row r="391" spans="1:26" ht="14.4">
      <c r="A391" s="39"/>
      <c r="B391" s="39"/>
      <c r="C391" s="40"/>
      <c r="D391" s="41" t="s">
        <v>967</v>
      </c>
      <c r="E391" s="42" t="s">
        <v>968</v>
      </c>
      <c r="F391" s="43">
        <f>Source!AQ146</f>
        <v>20.8</v>
      </c>
      <c r="G391" s="44"/>
      <c r="H391" s="45" t="str">
        <f>Source!DI146</f>
        <v/>
      </c>
      <c r="I391" s="46"/>
      <c r="J391" s="45"/>
      <c r="K391" s="45"/>
      <c r="L391" s="46"/>
      <c r="M391" s="47">
        <f>Source!U146</f>
        <v>9.5680000000000014</v>
      </c>
    </row>
    <row r="392" spans="1:26" ht="13.8">
      <c r="H392" s="93">
        <f>ROUND(Source!AC146*Source!I146, 0)+ROUND(Source!AF146*Source!I146, 0)+ROUND(Source!AD146*Source!I146, 0)+SUM(I389:I390)</f>
        <v>141</v>
      </c>
      <c r="I392" s="93"/>
      <c r="K392" s="93">
        <f>Source!O146+SUM(L389:L390)</f>
        <v>2926</v>
      </c>
      <c r="L392" s="93"/>
      <c r="M392" s="38">
        <f>Source!U146</f>
        <v>9.5680000000000014</v>
      </c>
      <c r="O392" s="37">
        <f>H392</f>
        <v>141</v>
      </c>
      <c r="P392" s="37">
        <f>K392</f>
        <v>2926</v>
      </c>
      <c r="Q392" s="48">
        <f>M392</f>
        <v>9.5680000000000014</v>
      </c>
      <c r="W392">
        <f>IF(Source!BI146&lt;=1,H392, 0)</f>
        <v>141</v>
      </c>
      <c r="X392">
        <f>IF(Source!BI146=2,H392, 0)</f>
        <v>0</v>
      </c>
      <c r="Y392">
        <f>IF(Source!BI146=3,H392, 0)</f>
        <v>0</v>
      </c>
      <c r="Z392">
        <f>IF(Source!BI146=4,H392, 0)</f>
        <v>0</v>
      </c>
    </row>
    <row r="393" spans="1:26" ht="28.8">
      <c r="A393" s="27">
        <v>49</v>
      </c>
      <c r="B393" s="27" t="str">
        <f>Source!E147</f>
        <v>47</v>
      </c>
      <c r="C393" s="28" t="str">
        <f>Source!F147</f>
        <v>65-4-1</v>
      </c>
      <c r="D393" s="25" t="str">
        <f>Source!G147</f>
        <v>Демонтаж умывальников и раковин</v>
      </c>
      <c r="E393" s="30" t="str">
        <f>Source!H147</f>
        <v>100 приборов</v>
      </c>
      <c r="F393" s="10">
        <f>Source!I147</f>
        <v>0.01</v>
      </c>
      <c r="G393" s="32">
        <f>IF(Source!AK147&lt;&gt; 0, Source!AK147,Source!AL147 + Source!AM147 + Source!AO147)</f>
        <v>417.2</v>
      </c>
      <c r="H393" s="31"/>
      <c r="I393" s="33"/>
      <c r="J393" s="31" t="str">
        <f>Source!BO147</f>
        <v>65-4-1</v>
      </c>
      <c r="K393" s="31"/>
      <c r="L393" s="33"/>
      <c r="M393" s="34"/>
      <c r="S393">
        <f>ROUND((Source!FX147/100)*((ROUND(Source!AF147*Source!I147, 0)+ROUND(Source!AE147*Source!I147, 0))), 0)</f>
        <v>2</v>
      </c>
      <c r="T393">
        <f>Source!X147</f>
        <v>45</v>
      </c>
      <c r="U393">
        <f>ROUND((Source!FY147/100)*((ROUND(Source!AF147*Source!I147, 0)+ROUND(Source!AE147*Source!I147, 0))), 0)</f>
        <v>2</v>
      </c>
      <c r="V393">
        <f>Source!Y147</f>
        <v>39</v>
      </c>
    </row>
    <row r="394" spans="1:26">
      <c r="D394" s="49" t="str">
        <f>"Объем: "&amp;Source!I147&amp;"=1/"&amp;"100"</f>
        <v>Объем: 0,01=1/100</v>
      </c>
    </row>
    <row r="395" spans="1:26" ht="14.4">
      <c r="A395" s="27"/>
      <c r="B395" s="27"/>
      <c r="C395" s="28"/>
      <c r="D395" s="25" t="s">
        <v>962</v>
      </c>
      <c r="E395" s="30"/>
      <c r="F395" s="10"/>
      <c r="G395" s="32">
        <f>Source!AO147</f>
        <v>408.86</v>
      </c>
      <c r="H395" s="31" t="str">
        <f>Source!DG147</f>
        <v/>
      </c>
      <c r="I395" s="33">
        <f>ROUND(Source!AF147*Source!I147, 0)</f>
        <v>4</v>
      </c>
      <c r="J395" s="31"/>
      <c r="K395" s="31">
        <f>IF(Source!BA147&lt;&gt; 0, Source!BA147, 1)</f>
        <v>20.88</v>
      </c>
      <c r="L395" s="33">
        <f>Source!S147</f>
        <v>85</v>
      </c>
      <c r="M395" s="34"/>
      <c r="R395">
        <f>I395</f>
        <v>4</v>
      </c>
    </row>
    <row r="396" spans="1:26" ht="14.4">
      <c r="A396" s="27"/>
      <c r="B396" s="27"/>
      <c r="C396" s="28"/>
      <c r="D396" s="25" t="s">
        <v>125</v>
      </c>
      <c r="E396" s="30"/>
      <c r="F396" s="10"/>
      <c r="G396" s="32">
        <f>Source!AM147</f>
        <v>8.34</v>
      </c>
      <c r="H396" s="31" t="str">
        <f>Source!DE147</f>
        <v/>
      </c>
      <c r="I396" s="33">
        <f>ROUND(Source!AD147*Source!I147, 0)</f>
        <v>0</v>
      </c>
      <c r="J396" s="31"/>
      <c r="K396" s="31">
        <f>IF(Source!BB147&lt;&gt; 0, Source!BB147, 1)</f>
        <v>10.220000000000001</v>
      </c>
      <c r="L396" s="33">
        <f>Source!Q147</f>
        <v>1</v>
      </c>
      <c r="M396" s="34"/>
    </row>
    <row r="397" spans="1:26" ht="14.4">
      <c r="A397" s="27"/>
      <c r="B397" s="27"/>
      <c r="C397" s="28"/>
      <c r="D397" s="25" t="s">
        <v>963</v>
      </c>
      <c r="E397" s="30"/>
      <c r="F397" s="10"/>
      <c r="G397" s="32">
        <f>Source!AN147</f>
        <v>3.15</v>
      </c>
      <c r="H397" s="31" t="str">
        <f>Source!DF147</f>
        <v/>
      </c>
      <c r="I397" s="33">
        <f>ROUND(Source!AE147*Source!I147, 0)</f>
        <v>0</v>
      </c>
      <c r="J397" s="31"/>
      <c r="K397" s="31">
        <f>IF(Source!BS147&lt;&gt; 0, Source!BS147, 1)</f>
        <v>20.88</v>
      </c>
      <c r="L397" s="33">
        <f>Source!R147</f>
        <v>1</v>
      </c>
      <c r="M397" s="34"/>
      <c r="R397">
        <f>I397</f>
        <v>0</v>
      </c>
    </row>
    <row r="398" spans="1:26" ht="14.4">
      <c r="A398" s="27"/>
      <c r="B398" s="27"/>
      <c r="C398" s="28"/>
      <c r="D398" s="25" t="s">
        <v>964</v>
      </c>
      <c r="E398" s="30" t="s">
        <v>965</v>
      </c>
      <c r="F398" s="10">
        <f>Source!BZ147</f>
        <v>74</v>
      </c>
      <c r="G398" s="92" t="str">
        <f>CONCATENATE(" )", Source!DL147, Source!FT147, "=", Source!FX147)</f>
        <v xml:space="preserve"> )*0,7=51,8</v>
      </c>
      <c r="H398" s="90"/>
      <c r="I398" s="33">
        <f>SUM(S393:S400)</f>
        <v>2</v>
      </c>
      <c r="J398" s="35"/>
      <c r="K398" s="25">
        <f>Source!AT147</f>
        <v>52</v>
      </c>
      <c r="L398" s="33">
        <f>SUM(T393:T400)</f>
        <v>45</v>
      </c>
      <c r="M398" s="34"/>
    </row>
    <row r="399" spans="1:26" ht="14.4">
      <c r="A399" s="27"/>
      <c r="B399" s="27"/>
      <c r="C399" s="28"/>
      <c r="D399" s="25" t="s">
        <v>966</v>
      </c>
      <c r="E399" s="30" t="s">
        <v>965</v>
      </c>
      <c r="F399" s="10">
        <f>Source!CA147</f>
        <v>50</v>
      </c>
      <c r="G399" s="92" t="str">
        <f>CONCATENATE(" )", Source!DM147, Source!FU147, "=", Source!FY147)</f>
        <v xml:space="preserve"> )*0,9=45</v>
      </c>
      <c r="H399" s="90"/>
      <c r="I399" s="33">
        <f>SUM(U393:U400)</f>
        <v>2</v>
      </c>
      <c r="J399" s="35"/>
      <c r="K399" s="25">
        <f>Source!AU147</f>
        <v>45</v>
      </c>
      <c r="L399" s="33">
        <f>SUM(V393:V400)</f>
        <v>39</v>
      </c>
      <c r="M399" s="34"/>
    </row>
    <row r="400" spans="1:26" ht="14.4">
      <c r="A400" s="39"/>
      <c r="B400" s="39"/>
      <c r="C400" s="40"/>
      <c r="D400" s="41" t="s">
        <v>967</v>
      </c>
      <c r="E400" s="42" t="s">
        <v>968</v>
      </c>
      <c r="F400" s="43">
        <f>Source!AQ147</f>
        <v>51.3</v>
      </c>
      <c r="G400" s="44"/>
      <c r="H400" s="45" t="str">
        <f>Source!DI147</f>
        <v/>
      </c>
      <c r="I400" s="46"/>
      <c r="J400" s="45"/>
      <c r="K400" s="45"/>
      <c r="L400" s="46"/>
      <c r="M400" s="47">
        <f>Source!U147</f>
        <v>0.51300000000000001</v>
      </c>
    </row>
    <row r="401" spans="1:32" ht="13.8">
      <c r="H401" s="93">
        <f>ROUND(Source!AC147*Source!I147, 0)+ROUND(Source!AF147*Source!I147, 0)+ROUND(Source!AD147*Source!I147, 0)+SUM(I398:I399)</f>
        <v>8</v>
      </c>
      <c r="I401" s="93"/>
      <c r="K401" s="93">
        <f>Source!O147+SUM(L398:L399)</f>
        <v>170</v>
      </c>
      <c r="L401" s="93"/>
      <c r="M401" s="38">
        <f>Source!U147</f>
        <v>0.51300000000000001</v>
      </c>
      <c r="O401" s="37">
        <f>H401</f>
        <v>8</v>
      </c>
      <c r="P401" s="37">
        <f>K401</f>
        <v>170</v>
      </c>
      <c r="Q401" s="48">
        <f>M401</f>
        <v>0.51300000000000001</v>
      </c>
      <c r="W401">
        <f>IF(Source!BI147&lt;=1,H401, 0)</f>
        <v>8</v>
      </c>
      <c r="X401">
        <f>IF(Source!BI147=2,H401, 0)</f>
        <v>0</v>
      </c>
      <c r="Y401">
        <f>IF(Source!BI147=3,H401, 0)</f>
        <v>0</v>
      </c>
      <c r="Z401">
        <f>IF(Source!BI147=4,H401, 0)</f>
        <v>0</v>
      </c>
    </row>
    <row r="402" spans="1:32" ht="14.4">
      <c r="D402" s="98" t="str">
        <f>Source!G148</f>
        <v>Отделочные работы</v>
      </c>
      <c r="E402" s="98"/>
      <c r="F402" s="98"/>
      <c r="G402" s="98"/>
      <c r="H402" s="98"/>
      <c r="I402" s="98"/>
      <c r="J402" s="98"/>
      <c r="K402" s="98"/>
      <c r="L402" s="98"/>
      <c r="M402" s="98"/>
      <c r="AF402" s="29" t="str">
        <f>Source!G148</f>
        <v>Отделочные работы</v>
      </c>
    </row>
    <row r="403" spans="1:32" ht="86.4">
      <c r="A403" s="27">
        <v>50</v>
      </c>
      <c r="B403" s="27" t="str">
        <f>Source!E149</f>
        <v>48</v>
      </c>
      <c r="C403" s="28" t="str">
        <f>Source!F149</f>
        <v>15-02-019-3</v>
      </c>
      <c r="D403" s="25" t="str">
        <f>Source!G149</f>
        <v>Сплошное выравнивание внутренних поверхностей (однослойное оштукатуривание)из сухих растворных смесей толщиной до 10 мм стен</v>
      </c>
      <c r="E403" s="30" t="str">
        <f>Source!H149</f>
        <v>100 м2 оштукатуриваемой поверхности</v>
      </c>
      <c r="F403" s="10">
        <f>Source!I149</f>
        <v>0.40899999999999997</v>
      </c>
      <c r="G403" s="32">
        <f>IF(Source!AK149&lt;&gt; 0, Source!AK149,Source!AL149 + Source!AM149 + Source!AO149)</f>
        <v>2935.67</v>
      </c>
      <c r="H403" s="31"/>
      <c r="I403" s="33"/>
      <c r="J403" s="31" t="str">
        <f>Source!BO149</f>
        <v>15-02-019-3</v>
      </c>
      <c r="K403" s="31"/>
      <c r="L403" s="33"/>
      <c r="M403" s="34"/>
      <c r="S403">
        <f>ROUND((Source!FX149/100)*((ROUND(Source!AF149*Source!I149, 0)+ROUND(Source!AE149*Source!I149, 0))), 0)</f>
        <v>144</v>
      </c>
      <c r="T403">
        <f>Source!X149</f>
        <v>3008</v>
      </c>
      <c r="U403">
        <f>ROUND((Source!FY149/100)*((ROUND(Source!AF149*Source!I149, 0)+ROUND(Source!AE149*Source!I149, 0))), 0)</f>
        <v>92</v>
      </c>
      <c r="V403">
        <f>Source!Y149</f>
        <v>1914</v>
      </c>
    </row>
    <row r="404" spans="1:32">
      <c r="D404" s="49" t="str">
        <f>"Объем: "&amp;Source!I149&amp;"=40,9/"&amp;"100"</f>
        <v>Объем: 0,409=40,9/100</v>
      </c>
    </row>
    <row r="405" spans="1:32" ht="14.4">
      <c r="A405" s="27"/>
      <c r="B405" s="27"/>
      <c r="C405" s="28"/>
      <c r="D405" s="25" t="s">
        <v>962</v>
      </c>
      <c r="E405" s="30"/>
      <c r="F405" s="10"/>
      <c r="G405" s="32">
        <f>Source!AO149</f>
        <v>445.22</v>
      </c>
      <c r="H405" s="31" t="str">
        <f>Source!DG149</f>
        <v>)*1,15</v>
      </c>
      <c r="I405" s="33">
        <f>ROUND(Source!AF149*Source!I149, 0)</f>
        <v>209</v>
      </c>
      <c r="J405" s="31"/>
      <c r="K405" s="31">
        <f>IF(Source!BA149&lt;&gt; 0, Source!BA149, 1)</f>
        <v>20.88</v>
      </c>
      <c r="L405" s="33">
        <f>Source!S149</f>
        <v>4372</v>
      </c>
      <c r="M405" s="34"/>
      <c r="R405">
        <f>I405</f>
        <v>209</v>
      </c>
    </row>
    <row r="406" spans="1:32" ht="14.4">
      <c r="A406" s="27"/>
      <c r="B406" s="27"/>
      <c r="C406" s="28"/>
      <c r="D406" s="25" t="s">
        <v>125</v>
      </c>
      <c r="E406" s="30"/>
      <c r="F406" s="10"/>
      <c r="G406" s="32">
        <f>Source!AM149</f>
        <v>27.53</v>
      </c>
      <c r="H406" s="31" t="str">
        <f>Source!DE149</f>
        <v>)*1,25</v>
      </c>
      <c r="I406" s="33">
        <f>ROUND(Source!AD149*Source!I149, 0)</f>
        <v>14</v>
      </c>
      <c r="J406" s="31"/>
      <c r="K406" s="31">
        <f>IF(Source!BB149&lt;&gt; 0, Source!BB149, 1)</f>
        <v>15.51</v>
      </c>
      <c r="L406" s="33">
        <f>Source!Q149</f>
        <v>218</v>
      </c>
      <c r="M406" s="34"/>
    </row>
    <row r="407" spans="1:32" ht="14.4">
      <c r="A407" s="27"/>
      <c r="B407" s="27"/>
      <c r="C407" s="28"/>
      <c r="D407" s="25" t="s">
        <v>963</v>
      </c>
      <c r="E407" s="30"/>
      <c r="F407" s="10"/>
      <c r="G407" s="32">
        <f>Source!AN149</f>
        <v>17.329999999999998</v>
      </c>
      <c r="H407" s="31" t="str">
        <f>Source!DF149</f>
        <v>)*1,25</v>
      </c>
      <c r="I407" s="33">
        <f>ROUND(Source!AE149*Source!I149, 0)</f>
        <v>9</v>
      </c>
      <c r="J407" s="31"/>
      <c r="K407" s="31">
        <f>IF(Source!BS149&lt;&gt; 0, Source!BS149, 1)</f>
        <v>20.88</v>
      </c>
      <c r="L407" s="33">
        <f>Source!R149</f>
        <v>185</v>
      </c>
      <c r="M407" s="34"/>
      <c r="R407">
        <f>I407</f>
        <v>9</v>
      </c>
    </row>
    <row r="408" spans="1:32" ht="14.4">
      <c r="A408" s="27"/>
      <c r="B408" s="27"/>
      <c r="C408" s="28"/>
      <c r="D408" s="25" t="s">
        <v>969</v>
      </c>
      <c r="E408" s="30"/>
      <c r="F408" s="10"/>
      <c r="G408" s="32">
        <f>Source!AL149</f>
        <v>2462.92</v>
      </c>
      <c r="H408" s="31" t="str">
        <f>Source!DD149</f>
        <v/>
      </c>
      <c r="I408" s="33">
        <f>ROUND(Source!AC149*Source!I149, 0)</f>
        <v>1007</v>
      </c>
      <c r="J408" s="31"/>
      <c r="K408" s="31">
        <f>IF(Source!BC149&lt;&gt; 0, Source!BC149, 1)</f>
        <v>8.92</v>
      </c>
      <c r="L408" s="33">
        <f>Source!P149</f>
        <v>8985</v>
      </c>
      <c r="M408" s="34"/>
    </row>
    <row r="409" spans="1:32" ht="14.4">
      <c r="A409" s="27"/>
      <c r="B409" s="27"/>
      <c r="C409" s="28"/>
      <c r="D409" s="25" t="s">
        <v>964</v>
      </c>
      <c r="E409" s="30" t="s">
        <v>965</v>
      </c>
      <c r="F409" s="10">
        <f>Source!BZ149</f>
        <v>105</v>
      </c>
      <c r="G409" s="92" t="str">
        <f>CONCATENATE(" )", Source!DL149, Source!FT149, "=", Source!FX149)</f>
        <v xml:space="preserve"> )*0,9*0,7=66,15</v>
      </c>
      <c r="H409" s="90"/>
      <c r="I409" s="33">
        <f>SUM(S403:S411)</f>
        <v>144</v>
      </c>
      <c r="J409" s="35"/>
      <c r="K409" s="25">
        <f>Source!AT149</f>
        <v>66</v>
      </c>
      <c r="L409" s="33">
        <f>SUM(T403:T411)</f>
        <v>3008</v>
      </c>
      <c r="M409" s="34"/>
    </row>
    <row r="410" spans="1:32" ht="14.4">
      <c r="A410" s="27"/>
      <c r="B410" s="27"/>
      <c r="C410" s="28"/>
      <c r="D410" s="25" t="s">
        <v>966</v>
      </c>
      <c r="E410" s="30" t="s">
        <v>965</v>
      </c>
      <c r="F410" s="10">
        <f>Source!CA149</f>
        <v>55</v>
      </c>
      <c r="G410" s="92" t="str">
        <f>CONCATENATE(" )", Source!DM149, Source!FU149, "=", Source!FY149)</f>
        <v xml:space="preserve"> )*0,85*0,9=42,075</v>
      </c>
      <c r="H410" s="90"/>
      <c r="I410" s="33">
        <f>SUM(U403:U411)</f>
        <v>92</v>
      </c>
      <c r="J410" s="35"/>
      <c r="K410" s="25">
        <f>Source!AU149</f>
        <v>42</v>
      </c>
      <c r="L410" s="33">
        <f>SUM(V403:V411)</f>
        <v>1914</v>
      </c>
      <c r="M410" s="34"/>
    </row>
    <row r="411" spans="1:32" ht="14.4">
      <c r="A411" s="39"/>
      <c r="B411" s="39"/>
      <c r="C411" s="40"/>
      <c r="D411" s="41" t="s">
        <v>967</v>
      </c>
      <c r="E411" s="42" t="s">
        <v>968</v>
      </c>
      <c r="F411" s="43">
        <f>Source!AQ149</f>
        <v>51.89</v>
      </c>
      <c r="G411" s="44"/>
      <c r="H411" s="45" t="str">
        <f>Source!DI149</f>
        <v>)*1,15</v>
      </c>
      <c r="I411" s="46"/>
      <c r="J411" s="45"/>
      <c r="K411" s="45"/>
      <c r="L411" s="46"/>
      <c r="M411" s="47">
        <f>Source!U149</f>
        <v>24.406461499999999</v>
      </c>
    </row>
    <row r="412" spans="1:32" ht="13.8">
      <c r="H412" s="93">
        <f>ROUND(Source!AC149*Source!I149, 0)+ROUND(Source!AF149*Source!I149, 0)+ROUND(Source!AD149*Source!I149, 0)+SUM(I409:I410)</f>
        <v>1466</v>
      </c>
      <c r="I412" s="93"/>
      <c r="K412" s="93">
        <f>Source!O149+SUM(L409:L410)</f>
        <v>18497</v>
      </c>
      <c r="L412" s="93"/>
      <c r="M412" s="38">
        <f>Source!U149</f>
        <v>24.406461499999999</v>
      </c>
      <c r="O412" s="37">
        <f>H412</f>
        <v>1466</v>
      </c>
      <c r="P412" s="37">
        <f>K412</f>
        <v>18497</v>
      </c>
      <c r="Q412" s="48">
        <f>M412</f>
        <v>24.406461499999999</v>
      </c>
      <c r="W412">
        <f>IF(Source!BI149&lt;=1,H412, 0)</f>
        <v>1466</v>
      </c>
      <c r="X412">
        <f>IF(Source!BI149=2,H412, 0)</f>
        <v>0</v>
      </c>
      <c r="Y412">
        <f>IF(Source!BI149=3,H412, 0)</f>
        <v>0</v>
      </c>
      <c r="Z412">
        <f>IF(Source!BI149=4,H412, 0)</f>
        <v>0</v>
      </c>
    </row>
    <row r="413" spans="1:32" ht="86.4">
      <c r="A413" s="27">
        <v>51</v>
      </c>
      <c r="B413" s="27" t="str">
        <f>Source!E150</f>
        <v>49</v>
      </c>
      <c r="C413" s="28" t="str">
        <f>Source!F150</f>
        <v>15-02-019-4</v>
      </c>
      <c r="D413" s="25" t="str">
        <f>Source!G150</f>
        <v>Сплошное выравнивание внутренних поверхностей (однослойное оштукатуривание)из сухих растворных смесей толщиной до 10 мм потолков</v>
      </c>
      <c r="E413" s="30" t="str">
        <f>Source!H150</f>
        <v>100 м2 оштукатуриваемой поверхности</v>
      </c>
      <c r="F413" s="10">
        <f>Source!I150</f>
        <v>0.3518</v>
      </c>
      <c r="G413" s="32">
        <f>IF(Source!AK150&lt;&gt; 0, Source!AK150,Source!AL150 + Source!AM150 + Source!AO150)</f>
        <v>3480.04</v>
      </c>
      <c r="H413" s="31"/>
      <c r="I413" s="33"/>
      <c r="J413" s="31" t="str">
        <f>Source!BO150</f>
        <v>15-02-019-4</v>
      </c>
      <c r="K413" s="31"/>
      <c r="L413" s="33"/>
      <c r="M413" s="34"/>
      <c r="S413">
        <f>ROUND((Source!FX150/100)*((ROUND(Source!AF150*Source!I150, 0)+ROUND(Source!AE150*Source!I150, 0))), 0)</f>
        <v>160</v>
      </c>
      <c r="T413">
        <f>Source!X150</f>
        <v>3334</v>
      </c>
      <c r="U413">
        <f>ROUND((Source!FY150/100)*((ROUND(Source!AF150*Source!I150, 0)+ROUND(Source!AE150*Source!I150, 0))), 0)</f>
        <v>102</v>
      </c>
      <c r="V413">
        <f>Source!Y150</f>
        <v>2122</v>
      </c>
    </row>
    <row r="414" spans="1:32">
      <c r="D414" s="49" t="str">
        <f>"Объем: "&amp;Source!I150&amp;"=35,18/"&amp;"100"</f>
        <v>Объем: 0,3518=35,18/100</v>
      </c>
    </row>
    <row r="415" spans="1:32" ht="14.4">
      <c r="A415" s="27"/>
      <c r="B415" s="27"/>
      <c r="C415" s="28"/>
      <c r="D415" s="25" t="s">
        <v>962</v>
      </c>
      <c r="E415" s="30"/>
      <c r="F415" s="10"/>
      <c r="G415" s="32">
        <f>Source!AO150</f>
        <v>576.1</v>
      </c>
      <c r="H415" s="31" t="str">
        <f>Source!DG150</f>
        <v>)*1,15</v>
      </c>
      <c r="I415" s="33">
        <f>ROUND(Source!AF150*Source!I150, 0)</f>
        <v>233</v>
      </c>
      <c r="J415" s="31"/>
      <c r="K415" s="31">
        <f>IF(Source!BA150&lt;&gt; 0, Source!BA150, 1)</f>
        <v>20.88</v>
      </c>
      <c r="L415" s="33">
        <f>Source!S150</f>
        <v>4867</v>
      </c>
      <c r="M415" s="34"/>
      <c r="R415">
        <f>I415</f>
        <v>233</v>
      </c>
    </row>
    <row r="416" spans="1:32" ht="14.4">
      <c r="A416" s="27"/>
      <c r="B416" s="27"/>
      <c r="C416" s="28"/>
      <c r="D416" s="25" t="s">
        <v>125</v>
      </c>
      <c r="E416" s="30"/>
      <c r="F416" s="10"/>
      <c r="G416" s="32">
        <f>Source!AM150</f>
        <v>32.21</v>
      </c>
      <c r="H416" s="31" t="str">
        <f>Source!DE150</f>
        <v>)*1,25</v>
      </c>
      <c r="I416" s="33">
        <f>ROUND(Source!AD150*Source!I150, 0)</f>
        <v>14</v>
      </c>
      <c r="J416" s="31"/>
      <c r="K416" s="31">
        <f>IF(Source!BB150&lt;&gt; 0, Source!BB150, 1)</f>
        <v>15.48</v>
      </c>
      <c r="L416" s="33">
        <f>Source!Q150</f>
        <v>219</v>
      </c>
      <c r="M416" s="34"/>
    </row>
    <row r="417" spans="1:26" ht="14.4">
      <c r="A417" s="27"/>
      <c r="B417" s="27"/>
      <c r="C417" s="28"/>
      <c r="D417" s="25" t="s">
        <v>963</v>
      </c>
      <c r="E417" s="30"/>
      <c r="F417" s="10"/>
      <c r="G417" s="32">
        <f>Source!AN150</f>
        <v>20.190000000000001</v>
      </c>
      <c r="H417" s="31" t="str">
        <f>Source!DF150</f>
        <v>)*1,25</v>
      </c>
      <c r="I417" s="33">
        <f>ROUND(Source!AE150*Source!I150, 0)</f>
        <v>9</v>
      </c>
      <c r="J417" s="31"/>
      <c r="K417" s="31">
        <f>IF(Source!BS150&lt;&gt; 0, Source!BS150, 1)</f>
        <v>20.88</v>
      </c>
      <c r="L417" s="33">
        <f>Source!R150</f>
        <v>185</v>
      </c>
      <c r="M417" s="34"/>
      <c r="R417">
        <f>I417</f>
        <v>9</v>
      </c>
    </row>
    <row r="418" spans="1:26" ht="14.4">
      <c r="A418" s="27"/>
      <c r="B418" s="27"/>
      <c r="C418" s="28"/>
      <c r="D418" s="25" t="s">
        <v>969</v>
      </c>
      <c r="E418" s="30"/>
      <c r="F418" s="10"/>
      <c r="G418" s="32">
        <f>Source!AL150</f>
        <v>2871.73</v>
      </c>
      <c r="H418" s="31" t="str">
        <f>Source!DD150</f>
        <v/>
      </c>
      <c r="I418" s="33">
        <f>ROUND(Source!AC150*Source!I150, 0)</f>
        <v>1010</v>
      </c>
      <c r="J418" s="31"/>
      <c r="K418" s="31">
        <f>IF(Source!BC150&lt;&gt; 0, Source!BC150, 1)</f>
        <v>8.92</v>
      </c>
      <c r="L418" s="33">
        <f>Source!P150</f>
        <v>9012</v>
      </c>
      <c r="M418" s="34"/>
    </row>
    <row r="419" spans="1:26" ht="14.4">
      <c r="A419" s="27"/>
      <c r="B419" s="27"/>
      <c r="C419" s="28"/>
      <c r="D419" s="25" t="s">
        <v>964</v>
      </c>
      <c r="E419" s="30" t="s">
        <v>965</v>
      </c>
      <c r="F419" s="10">
        <f>Source!BZ150</f>
        <v>105</v>
      </c>
      <c r="G419" s="92" t="str">
        <f>CONCATENATE(" )", Source!DL150, Source!FT150, "=", Source!FX150)</f>
        <v xml:space="preserve"> )*0,9*0,7=66,15</v>
      </c>
      <c r="H419" s="90"/>
      <c r="I419" s="33">
        <f>SUM(S413:S421)</f>
        <v>160</v>
      </c>
      <c r="J419" s="35"/>
      <c r="K419" s="25">
        <f>Source!AT150</f>
        <v>66</v>
      </c>
      <c r="L419" s="33">
        <f>SUM(T413:T421)</f>
        <v>3334</v>
      </c>
      <c r="M419" s="34"/>
    </row>
    <row r="420" spans="1:26" ht="14.4">
      <c r="A420" s="27"/>
      <c r="B420" s="27"/>
      <c r="C420" s="28"/>
      <c r="D420" s="25" t="s">
        <v>966</v>
      </c>
      <c r="E420" s="30" t="s">
        <v>965</v>
      </c>
      <c r="F420" s="10">
        <f>Source!CA150</f>
        <v>55</v>
      </c>
      <c r="G420" s="92" t="str">
        <f>CONCATENATE(" )", Source!DM150, Source!FU150, "=", Source!FY150)</f>
        <v xml:space="preserve"> )*0,85*0,9=42,075</v>
      </c>
      <c r="H420" s="90"/>
      <c r="I420" s="33">
        <f>SUM(U413:U421)</f>
        <v>102</v>
      </c>
      <c r="J420" s="35"/>
      <c r="K420" s="25">
        <f>Source!AU150</f>
        <v>42</v>
      </c>
      <c r="L420" s="33">
        <f>SUM(V413:V421)</f>
        <v>2122</v>
      </c>
      <c r="M420" s="34"/>
    </row>
    <row r="421" spans="1:26" ht="14.4">
      <c r="A421" s="39"/>
      <c r="B421" s="39"/>
      <c r="C421" s="40"/>
      <c r="D421" s="41" t="s">
        <v>967</v>
      </c>
      <c r="E421" s="42" t="s">
        <v>968</v>
      </c>
      <c r="F421" s="43">
        <f>Source!AQ150</f>
        <v>63.1</v>
      </c>
      <c r="G421" s="44"/>
      <c r="H421" s="45" t="str">
        <f>Source!DI150</f>
        <v>)*1,15</v>
      </c>
      <c r="I421" s="46"/>
      <c r="J421" s="45"/>
      <c r="K421" s="45"/>
      <c r="L421" s="46"/>
      <c r="M421" s="47">
        <f>Source!U150</f>
        <v>25.528366999999999</v>
      </c>
    </row>
    <row r="422" spans="1:26" ht="13.8">
      <c r="H422" s="93">
        <f>ROUND(Source!AC150*Source!I150, 0)+ROUND(Source!AF150*Source!I150, 0)+ROUND(Source!AD150*Source!I150, 0)+SUM(I419:I420)</f>
        <v>1519</v>
      </c>
      <c r="I422" s="93"/>
      <c r="K422" s="93">
        <f>Source!O150+SUM(L419:L420)</f>
        <v>19554</v>
      </c>
      <c r="L422" s="93"/>
      <c r="M422" s="38">
        <f>Source!U150</f>
        <v>25.528366999999999</v>
      </c>
      <c r="O422" s="37">
        <f>H422</f>
        <v>1519</v>
      </c>
      <c r="P422" s="37">
        <f>K422</f>
        <v>19554</v>
      </c>
      <c r="Q422" s="48">
        <f>M422</f>
        <v>25.528366999999999</v>
      </c>
      <c r="W422">
        <f>IF(Source!BI150&lt;=1,H422, 0)</f>
        <v>1519</v>
      </c>
      <c r="X422">
        <f>IF(Source!BI150=2,H422, 0)</f>
        <v>0</v>
      </c>
      <c r="Y422">
        <f>IF(Source!BI150=3,H422, 0)</f>
        <v>0</v>
      </c>
      <c r="Z422">
        <f>IF(Source!BI150=4,H422, 0)</f>
        <v>0</v>
      </c>
    </row>
    <row r="423" spans="1:26" ht="72">
      <c r="A423" s="27">
        <v>52</v>
      </c>
      <c r="B423" s="27" t="str">
        <f>Source!E151</f>
        <v>50</v>
      </c>
      <c r="C423" s="28" t="str">
        <f>Source!F151</f>
        <v>15-04-005-3</v>
      </c>
      <c r="D423" s="25" t="str">
        <f>Source!G151</f>
        <v>Окраска поливинилацетатными водоэмульсионными составами улучшенная по штукатурке стен</v>
      </c>
      <c r="E423" s="30" t="str">
        <f>Source!H151</f>
        <v>100 м2 окрашиваемой поверхности</v>
      </c>
      <c r="F423" s="10">
        <f>Source!I151</f>
        <v>0.40899999999999997</v>
      </c>
      <c r="G423" s="32">
        <f>IF(Source!AK151&lt;&gt; 0, Source!AK151,Source!AL151 + Source!AM151 + Source!AO151)</f>
        <v>1629.52</v>
      </c>
      <c r="H423" s="31"/>
      <c r="I423" s="33"/>
      <c r="J423" s="31" t="str">
        <f>Source!BO151</f>
        <v>15-04-005-3</v>
      </c>
      <c r="K423" s="31"/>
      <c r="L423" s="33"/>
      <c r="M423" s="34"/>
      <c r="S423">
        <f>ROUND((Source!FX151/100)*((ROUND(Source!AF151*Source!I151, 0)+ROUND(Source!AE151*Source!I151, 0))), 0)</f>
        <v>112</v>
      </c>
      <c r="T423">
        <f>Source!X151</f>
        <v>2332</v>
      </c>
      <c r="U423">
        <f>ROUND((Source!FY151/100)*((ROUND(Source!AF151*Source!I151, 0)+ROUND(Source!AE151*Source!I151, 0))), 0)</f>
        <v>71</v>
      </c>
      <c r="V423">
        <f>Source!Y151</f>
        <v>1484</v>
      </c>
    </row>
    <row r="424" spans="1:26">
      <c r="D424" s="49" t="str">
        <f>"Объем: "&amp;Source!I151&amp;"=40,9/"&amp;"100"</f>
        <v>Объем: 0,409=40,9/100</v>
      </c>
    </row>
    <row r="425" spans="1:26" ht="14.4">
      <c r="A425" s="27"/>
      <c r="B425" s="27"/>
      <c r="C425" s="28"/>
      <c r="D425" s="25" t="s">
        <v>962</v>
      </c>
      <c r="E425" s="30"/>
      <c r="F425" s="10"/>
      <c r="G425" s="32">
        <f>Source!AO151</f>
        <v>359.5</v>
      </c>
      <c r="H425" s="31" t="str">
        <f>Source!DG151</f>
        <v>)*1,15</v>
      </c>
      <c r="I425" s="33">
        <f>ROUND(Source!AF151*Source!I151, 0)</f>
        <v>169</v>
      </c>
      <c r="J425" s="31"/>
      <c r="K425" s="31">
        <f>IF(Source!BA151&lt;&gt; 0, Source!BA151, 1)</f>
        <v>20.88</v>
      </c>
      <c r="L425" s="33">
        <f>Source!S151</f>
        <v>3531</v>
      </c>
      <c r="M425" s="34"/>
      <c r="R425">
        <f>I425</f>
        <v>169</v>
      </c>
    </row>
    <row r="426" spans="1:26" ht="14.4">
      <c r="A426" s="27"/>
      <c r="B426" s="27"/>
      <c r="C426" s="28"/>
      <c r="D426" s="25" t="s">
        <v>125</v>
      </c>
      <c r="E426" s="30"/>
      <c r="F426" s="10"/>
      <c r="G426" s="32">
        <f>Source!AM151</f>
        <v>14.41</v>
      </c>
      <c r="H426" s="31" t="str">
        <f>Source!DE151</f>
        <v>)*1,25</v>
      </c>
      <c r="I426" s="33">
        <f>ROUND(Source!AD151*Source!I151, 0)</f>
        <v>7</v>
      </c>
      <c r="J426" s="31"/>
      <c r="K426" s="31">
        <f>IF(Source!BB151&lt;&gt; 0, Source!BB151, 1)</f>
        <v>9.24</v>
      </c>
      <c r="L426" s="33">
        <f>Source!Q151</f>
        <v>68</v>
      </c>
      <c r="M426" s="34"/>
    </row>
    <row r="427" spans="1:26" ht="14.4">
      <c r="A427" s="27"/>
      <c r="B427" s="27"/>
      <c r="C427" s="28"/>
      <c r="D427" s="25" t="s">
        <v>963</v>
      </c>
      <c r="E427" s="30"/>
      <c r="F427" s="10"/>
      <c r="G427" s="32">
        <f>Source!AN151</f>
        <v>0.24</v>
      </c>
      <c r="H427" s="31" t="str">
        <f>Source!DF151</f>
        <v>)*1,25</v>
      </c>
      <c r="I427" s="33">
        <f>ROUND(Source!AE151*Source!I151, 0)</f>
        <v>0</v>
      </c>
      <c r="J427" s="31"/>
      <c r="K427" s="31">
        <f>IF(Source!BS151&lt;&gt; 0, Source!BS151, 1)</f>
        <v>20.88</v>
      </c>
      <c r="L427" s="33">
        <f>Source!R151</f>
        <v>3</v>
      </c>
      <c r="M427" s="34"/>
      <c r="R427">
        <f>I427</f>
        <v>0</v>
      </c>
    </row>
    <row r="428" spans="1:26" ht="14.4">
      <c r="A428" s="27"/>
      <c r="B428" s="27"/>
      <c r="C428" s="28"/>
      <c r="D428" s="25" t="s">
        <v>969</v>
      </c>
      <c r="E428" s="30"/>
      <c r="F428" s="10"/>
      <c r="G428" s="32">
        <f>Source!AL151</f>
        <v>1255.6099999999999</v>
      </c>
      <c r="H428" s="31" t="str">
        <f>Source!DD151</f>
        <v/>
      </c>
      <c r="I428" s="33">
        <f>ROUND(Source!AC151*Source!I151, 0)</f>
        <v>514</v>
      </c>
      <c r="J428" s="31"/>
      <c r="K428" s="31">
        <f>IF(Source!BC151&lt;&gt; 0, Source!BC151, 1)</f>
        <v>5.89</v>
      </c>
      <c r="L428" s="33">
        <f>Source!P151</f>
        <v>3025</v>
      </c>
      <c r="M428" s="34"/>
    </row>
    <row r="429" spans="1:26" ht="14.4">
      <c r="A429" s="27"/>
      <c r="B429" s="27"/>
      <c r="C429" s="28"/>
      <c r="D429" s="25" t="s">
        <v>964</v>
      </c>
      <c r="E429" s="30" t="s">
        <v>965</v>
      </c>
      <c r="F429" s="10">
        <f>Source!BZ151</f>
        <v>105</v>
      </c>
      <c r="G429" s="92" t="str">
        <f>CONCATENATE(" )", Source!DL151, Source!FT151, "=", Source!FX151)</f>
        <v xml:space="preserve"> )*0,9*0,7=66,15</v>
      </c>
      <c r="H429" s="90"/>
      <c r="I429" s="33">
        <f>SUM(S423:S431)</f>
        <v>112</v>
      </c>
      <c r="J429" s="35"/>
      <c r="K429" s="25">
        <f>Source!AT151</f>
        <v>66</v>
      </c>
      <c r="L429" s="33">
        <f>SUM(T423:T431)</f>
        <v>2332</v>
      </c>
      <c r="M429" s="34"/>
    </row>
    <row r="430" spans="1:26" ht="14.4">
      <c r="A430" s="27"/>
      <c r="B430" s="27"/>
      <c r="C430" s="28"/>
      <c r="D430" s="25" t="s">
        <v>966</v>
      </c>
      <c r="E430" s="30" t="s">
        <v>965</v>
      </c>
      <c r="F430" s="10">
        <f>Source!CA151</f>
        <v>55</v>
      </c>
      <c r="G430" s="92" t="str">
        <f>CONCATENATE(" )", Source!DM151, Source!FU151, "=", Source!FY151)</f>
        <v xml:space="preserve"> )*0,85*0,9=42,075</v>
      </c>
      <c r="H430" s="90"/>
      <c r="I430" s="33">
        <f>SUM(U423:U431)</f>
        <v>71</v>
      </c>
      <c r="J430" s="35"/>
      <c r="K430" s="25">
        <f>Source!AU151</f>
        <v>42</v>
      </c>
      <c r="L430" s="33">
        <f>SUM(V423:V431)</f>
        <v>1484</v>
      </c>
      <c r="M430" s="34"/>
    </row>
    <row r="431" spans="1:26" ht="14.4">
      <c r="A431" s="39"/>
      <c r="B431" s="39"/>
      <c r="C431" s="40"/>
      <c r="D431" s="41" t="s">
        <v>967</v>
      </c>
      <c r="E431" s="42" t="s">
        <v>968</v>
      </c>
      <c r="F431" s="43">
        <f>Source!AQ151</f>
        <v>42.9</v>
      </c>
      <c r="G431" s="44"/>
      <c r="H431" s="45" t="str">
        <f>Source!DI151</f>
        <v>)*1,15</v>
      </c>
      <c r="I431" s="46"/>
      <c r="J431" s="45"/>
      <c r="K431" s="45"/>
      <c r="L431" s="46"/>
      <c r="M431" s="47">
        <f>Source!U151</f>
        <v>20.178014999999995</v>
      </c>
    </row>
    <row r="432" spans="1:26" ht="13.8">
      <c r="H432" s="93">
        <f>ROUND(Source!AC151*Source!I151, 0)+ROUND(Source!AF151*Source!I151, 0)+ROUND(Source!AD151*Source!I151, 0)+SUM(I429:I430)</f>
        <v>873</v>
      </c>
      <c r="I432" s="93"/>
      <c r="K432" s="93">
        <f>Source!O151+SUM(L429:L430)</f>
        <v>10440</v>
      </c>
      <c r="L432" s="93"/>
      <c r="M432" s="38">
        <f>Source!U151</f>
        <v>20.178014999999995</v>
      </c>
      <c r="O432" s="37">
        <f>H432</f>
        <v>873</v>
      </c>
      <c r="P432" s="37">
        <f>K432</f>
        <v>10440</v>
      </c>
      <c r="Q432" s="48">
        <f>M432</f>
        <v>20.178014999999995</v>
      </c>
      <c r="W432">
        <f>IF(Source!BI151&lt;=1,H432, 0)</f>
        <v>873</v>
      </c>
      <c r="X432">
        <f>IF(Source!BI151=2,H432, 0)</f>
        <v>0</v>
      </c>
      <c r="Y432">
        <f>IF(Source!BI151=3,H432, 0)</f>
        <v>0</v>
      </c>
      <c r="Z432">
        <f>IF(Source!BI151=4,H432, 0)</f>
        <v>0</v>
      </c>
    </row>
    <row r="433" spans="1:26" ht="72">
      <c r="A433" s="27">
        <v>53</v>
      </c>
      <c r="B433" s="27" t="str">
        <f>Source!E152</f>
        <v>51</v>
      </c>
      <c r="C433" s="28" t="str">
        <f>Source!F152</f>
        <v>15-04-005-4</v>
      </c>
      <c r="D433" s="25" t="str">
        <f>Source!G152</f>
        <v>Окраска поливинилацетатными водоэмульсионными составами улучшенная по штукатурке потолков</v>
      </c>
      <c r="E433" s="30" t="str">
        <f>Source!H152</f>
        <v>100 м2 окрашиваемой поверхности</v>
      </c>
      <c r="F433" s="10">
        <f>Source!I152</f>
        <v>0.3518</v>
      </c>
      <c r="G433" s="32">
        <f>IF(Source!AK152&lt;&gt; 0, Source!AK152,Source!AL152 + Source!AM152 + Source!AO152)</f>
        <v>1832.67</v>
      </c>
      <c r="H433" s="31"/>
      <c r="I433" s="33"/>
      <c r="J433" s="31" t="str">
        <f>Source!BO152</f>
        <v>15-04-005-4</v>
      </c>
      <c r="K433" s="31"/>
      <c r="L433" s="33"/>
      <c r="M433" s="34"/>
      <c r="S433">
        <f>ROUND((Source!FX152/100)*((ROUND(Source!AF152*Source!I152, 0)+ROUND(Source!AE152*Source!I152, 0))), 0)</f>
        <v>121</v>
      </c>
      <c r="T433">
        <f>Source!X152</f>
        <v>2520</v>
      </c>
      <c r="U433">
        <f>ROUND((Source!FY152/100)*((ROUND(Source!AF152*Source!I152, 0)+ROUND(Source!AE152*Source!I152, 0))), 0)</f>
        <v>77</v>
      </c>
      <c r="V433">
        <f>Source!Y152</f>
        <v>1604</v>
      </c>
    </row>
    <row r="434" spans="1:26">
      <c r="D434" s="49" t="str">
        <f>"Объем: "&amp;Source!I152&amp;"=35,18/"&amp;"100"</f>
        <v>Объем: 0,3518=35,18/100</v>
      </c>
    </row>
    <row r="435" spans="1:26" ht="14.4">
      <c r="A435" s="27"/>
      <c r="B435" s="27"/>
      <c r="C435" s="28"/>
      <c r="D435" s="25" t="s">
        <v>962</v>
      </c>
      <c r="E435" s="30"/>
      <c r="F435" s="10"/>
      <c r="G435" s="32">
        <f>Source!AO152</f>
        <v>451.68</v>
      </c>
      <c r="H435" s="31" t="str">
        <f>Source!DG152</f>
        <v>)*1,15</v>
      </c>
      <c r="I435" s="33">
        <f>ROUND(Source!AF152*Source!I152, 0)</f>
        <v>183</v>
      </c>
      <c r="J435" s="31"/>
      <c r="K435" s="31">
        <f>IF(Source!BA152&lt;&gt; 0, Source!BA152, 1)</f>
        <v>20.88</v>
      </c>
      <c r="L435" s="33">
        <f>Source!S152</f>
        <v>3816</v>
      </c>
      <c r="M435" s="34"/>
      <c r="R435">
        <f>I435</f>
        <v>183</v>
      </c>
    </row>
    <row r="436" spans="1:26" ht="14.4">
      <c r="A436" s="27"/>
      <c r="B436" s="27"/>
      <c r="C436" s="28"/>
      <c r="D436" s="25" t="s">
        <v>125</v>
      </c>
      <c r="E436" s="30"/>
      <c r="F436" s="10"/>
      <c r="G436" s="32">
        <f>Source!AM152</f>
        <v>15.32</v>
      </c>
      <c r="H436" s="31" t="str">
        <f>Source!DE152</f>
        <v>)*1,25</v>
      </c>
      <c r="I436" s="33">
        <f>ROUND(Source!AD152*Source!I152, 0)</f>
        <v>7</v>
      </c>
      <c r="J436" s="31"/>
      <c r="K436" s="31">
        <f>IF(Source!BB152&lt;&gt; 0, Source!BB152, 1)</f>
        <v>9.24</v>
      </c>
      <c r="L436" s="33">
        <f>Source!Q152</f>
        <v>62</v>
      </c>
      <c r="M436" s="34"/>
    </row>
    <row r="437" spans="1:26" ht="14.4">
      <c r="A437" s="27"/>
      <c r="B437" s="27"/>
      <c r="C437" s="28"/>
      <c r="D437" s="25" t="s">
        <v>963</v>
      </c>
      <c r="E437" s="30"/>
      <c r="F437" s="10"/>
      <c r="G437" s="32">
        <f>Source!AN152</f>
        <v>0.24</v>
      </c>
      <c r="H437" s="31" t="str">
        <f>Source!DF152</f>
        <v>)*1,25</v>
      </c>
      <c r="I437" s="33">
        <f>ROUND(Source!AE152*Source!I152, 0)</f>
        <v>0</v>
      </c>
      <c r="J437" s="31"/>
      <c r="K437" s="31">
        <f>IF(Source!BS152&lt;&gt; 0, Source!BS152, 1)</f>
        <v>20.88</v>
      </c>
      <c r="L437" s="33">
        <f>Source!R152</f>
        <v>2</v>
      </c>
      <c r="M437" s="34"/>
      <c r="R437">
        <f>I437</f>
        <v>0</v>
      </c>
    </row>
    <row r="438" spans="1:26" ht="14.4">
      <c r="A438" s="27"/>
      <c r="B438" s="27"/>
      <c r="C438" s="28"/>
      <c r="D438" s="25" t="s">
        <v>969</v>
      </c>
      <c r="E438" s="30"/>
      <c r="F438" s="10"/>
      <c r="G438" s="32">
        <f>Source!AL152</f>
        <v>1365.67</v>
      </c>
      <c r="H438" s="31" t="str">
        <f>Source!DD152</f>
        <v/>
      </c>
      <c r="I438" s="33">
        <f>ROUND(Source!AC152*Source!I152, 0)</f>
        <v>480</v>
      </c>
      <c r="J438" s="31"/>
      <c r="K438" s="31">
        <f>IF(Source!BC152&lt;&gt; 0, Source!BC152, 1)</f>
        <v>5.9</v>
      </c>
      <c r="L438" s="33">
        <f>Source!P152</f>
        <v>2835</v>
      </c>
      <c r="M438" s="34"/>
    </row>
    <row r="439" spans="1:26" ht="14.4">
      <c r="A439" s="27"/>
      <c r="B439" s="27"/>
      <c r="C439" s="28"/>
      <c r="D439" s="25" t="s">
        <v>964</v>
      </c>
      <c r="E439" s="30" t="s">
        <v>965</v>
      </c>
      <c r="F439" s="10">
        <f>Source!BZ152</f>
        <v>105</v>
      </c>
      <c r="G439" s="92" t="str">
        <f>CONCATENATE(" )", Source!DL152, Source!FT152, "=", Source!FX152)</f>
        <v xml:space="preserve"> )*0,9*0,7=66,15</v>
      </c>
      <c r="H439" s="90"/>
      <c r="I439" s="33">
        <f>SUM(S433:S441)</f>
        <v>121</v>
      </c>
      <c r="J439" s="35"/>
      <c r="K439" s="25">
        <f>Source!AT152</f>
        <v>66</v>
      </c>
      <c r="L439" s="33">
        <f>SUM(T433:T441)</f>
        <v>2520</v>
      </c>
      <c r="M439" s="34"/>
    </row>
    <row r="440" spans="1:26" ht="14.4">
      <c r="A440" s="27"/>
      <c r="B440" s="27"/>
      <c r="C440" s="28"/>
      <c r="D440" s="25" t="s">
        <v>966</v>
      </c>
      <c r="E440" s="30" t="s">
        <v>965</v>
      </c>
      <c r="F440" s="10">
        <f>Source!CA152</f>
        <v>55</v>
      </c>
      <c r="G440" s="92" t="str">
        <f>CONCATENATE(" )", Source!DM152, Source!FU152, "=", Source!FY152)</f>
        <v xml:space="preserve"> )*0,85*0,9=42,075</v>
      </c>
      <c r="H440" s="90"/>
      <c r="I440" s="33">
        <f>SUM(U433:U441)</f>
        <v>77</v>
      </c>
      <c r="J440" s="35"/>
      <c r="K440" s="25">
        <f>Source!AU152</f>
        <v>42</v>
      </c>
      <c r="L440" s="33">
        <f>SUM(V433:V441)</f>
        <v>1604</v>
      </c>
      <c r="M440" s="34"/>
    </row>
    <row r="441" spans="1:26" ht="14.4">
      <c r="A441" s="39"/>
      <c r="B441" s="39"/>
      <c r="C441" s="40"/>
      <c r="D441" s="41" t="s">
        <v>967</v>
      </c>
      <c r="E441" s="42" t="s">
        <v>968</v>
      </c>
      <c r="F441" s="43">
        <f>Source!AQ152</f>
        <v>53.9</v>
      </c>
      <c r="G441" s="44"/>
      <c r="H441" s="45" t="str">
        <f>Source!DI152</f>
        <v>)*1,15</v>
      </c>
      <c r="I441" s="46"/>
      <c r="J441" s="45"/>
      <c r="K441" s="45"/>
      <c r="L441" s="46"/>
      <c r="M441" s="47">
        <f>Source!U152</f>
        <v>21.806322999999999</v>
      </c>
    </row>
    <row r="442" spans="1:26" ht="13.8">
      <c r="H442" s="93">
        <f>ROUND(Source!AC152*Source!I152, 0)+ROUND(Source!AF152*Source!I152, 0)+ROUND(Source!AD152*Source!I152, 0)+SUM(I439:I440)</f>
        <v>868</v>
      </c>
      <c r="I442" s="93"/>
      <c r="K442" s="93">
        <f>Source!O152+SUM(L439:L440)</f>
        <v>10837</v>
      </c>
      <c r="L442" s="93"/>
      <c r="M442" s="38">
        <f>Source!U152</f>
        <v>21.806322999999999</v>
      </c>
      <c r="O442" s="37">
        <f>H442</f>
        <v>868</v>
      </c>
      <c r="P442" s="37">
        <f>K442</f>
        <v>10837</v>
      </c>
      <c r="Q442" s="48">
        <f>M442</f>
        <v>21.806322999999999</v>
      </c>
      <c r="W442">
        <f>IF(Source!BI152&lt;=1,H442, 0)</f>
        <v>868</v>
      </c>
      <c r="X442">
        <f>IF(Source!BI152=2,H442, 0)</f>
        <v>0</v>
      </c>
      <c r="Y442">
        <f>IF(Source!BI152=3,H442, 0)</f>
        <v>0</v>
      </c>
      <c r="Z442">
        <f>IF(Source!BI152=4,H442, 0)</f>
        <v>0</v>
      </c>
    </row>
    <row r="443" spans="1:26" ht="28.8">
      <c r="A443" s="27">
        <v>54</v>
      </c>
      <c r="B443" s="27" t="str">
        <f>Source!E153</f>
        <v>52</v>
      </c>
      <c r="C443" s="28" t="str">
        <f>Source!F153</f>
        <v>11-01-011-1</v>
      </c>
      <c r="D443" s="25" t="str">
        <f>Source!G153</f>
        <v>Устройство стяжек цементных толщиной 20 мм</v>
      </c>
      <c r="E443" s="30" t="str">
        <f>Source!H153</f>
        <v>100 м2 стяжки</v>
      </c>
      <c r="F443" s="10">
        <f>Source!I153</f>
        <v>0.35899999999999999</v>
      </c>
      <c r="G443" s="32">
        <f>IF(Source!AK153&lt;&gt; 0, Source!AK153,Source!AL153 + Source!AM153 + Source!AO153)</f>
        <v>1311.85</v>
      </c>
      <c r="H443" s="31"/>
      <c r="I443" s="33"/>
      <c r="J443" s="31" t="str">
        <f>Source!BO153</f>
        <v>11-01-011-1</v>
      </c>
      <c r="K443" s="31"/>
      <c r="L443" s="33"/>
      <c r="M443" s="34"/>
      <c r="S443">
        <f>ROUND((Source!FX153/100)*((ROUND(Source!AF153*Source!I153, 0)+ROUND(Source!AE153*Source!I153, 0))), 0)</f>
        <v>99</v>
      </c>
      <c r="T443">
        <f>Source!X153</f>
        <v>2060</v>
      </c>
      <c r="U443">
        <f>ROUND((Source!FY153/100)*((ROUND(Source!AF153*Source!I153, 0)+ROUND(Source!AE153*Source!I153, 0))), 0)</f>
        <v>73</v>
      </c>
      <c r="V443">
        <f>Source!Y153</f>
        <v>1525</v>
      </c>
    </row>
    <row r="444" spans="1:26">
      <c r="D444" s="49" t="str">
        <f>"Объем: "&amp;Source!I153&amp;"=35,9/"&amp;"100"</f>
        <v>Объем: 0,359=35,9/100</v>
      </c>
    </row>
    <row r="445" spans="1:26" ht="14.4">
      <c r="A445" s="27"/>
      <c r="B445" s="27"/>
      <c r="C445" s="28"/>
      <c r="D445" s="25" t="s">
        <v>962</v>
      </c>
      <c r="E445" s="30"/>
      <c r="F445" s="10"/>
      <c r="G445" s="32">
        <f>Source!AO153</f>
        <v>293.56</v>
      </c>
      <c r="H445" s="31" t="str">
        <f>Source!DG153</f>
        <v>)*1,15</v>
      </c>
      <c r="I445" s="33">
        <f>ROUND(Source!AF153*Source!I153, 0)</f>
        <v>121</v>
      </c>
      <c r="J445" s="31"/>
      <c r="K445" s="31">
        <f>IF(Source!BA153&lt;&gt; 0, Source!BA153, 1)</f>
        <v>20.88</v>
      </c>
      <c r="L445" s="33">
        <f>Source!S153</f>
        <v>2531</v>
      </c>
      <c r="M445" s="34"/>
      <c r="R445">
        <f>I445</f>
        <v>121</v>
      </c>
    </row>
    <row r="446" spans="1:26" ht="14.4">
      <c r="A446" s="27"/>
      <c r="B446" s="27"/>
      <c r="C446" s="28"/>
      <c r="D446" s="25" t="s">
        <v>125</v>
      </c>
      <c r="E446" s="30"/>
      <c r="F446" s="10"/>
      <c r="G446" s="32">
        <f>Source!AM153</f>
        <v>46.74</v>
      </c>
      <c r="H446" s="31" t="str">
        <f>Source!DE153</f>
        <v>)*1,25</v>
      </c>
      <c r="I446" s="33">
        <f>ROUND(Source!AD153*Source!I153, 0)</f>
        <v>21</v>
      </c>
      <c r="J446" s="31"/>
      <c r="K446" s="31">
        <f>IF(Source!BB153&lt;&gt; 0, Source!BB153, 1)</f>
        <v>9.51</v>
      </c>
      <c r="L446" s="33">
        <f>Source!Q153</f>
        <v>199</v>
      </c>
      <c r="M446" s="34"/>
    </row>
    <row r="447" spans="1:26" ht="14.4">
      <c r="A447" s="27"/>
      <c r="B447" s="27"/>
      <c r="C447" s="28"/>
      <c r="D447" s="25" t="s">
        <v>963</v>
      </c>
      <c r="E447" s="30"/>
      <c r="F447" s="10"/>
      <c r="G447" s="32">
        <f>Source!AN153</f>
        <v>15.37</v>
      </c>
      <c r="H447" s="31" t="str">
        <f>Source!DF153</f>
        <v>)*1,25</v>
      </c>
      <c r="I447" s="33">
        <f>ROUND(Source!AE153*Source!I153, 0)</f>
        <v>7</v>
      </c>
      <c r="J447" s="31"/>
      <c r="K447" s="31">
        <f>IF(Source!BS153&lt;&gt; 0, Source!BS153, 1)</f>
        <v>20.88</v>
      </c>
      <c r="L447" s="33">
        <f>Source!R153</f>
        <v>144</v>
      </c>
      <c r="M447" s="34"/>
      <c r="R447">
        <f>I447</f>
        <v>7</v>
      </c>
    </row>
    <row r="448" spans="1:26" ht="14.4">
      <c r="A448" s="27"/>
      <c r="B448" s="27"/>
      <c r="C448" s="28"/>
      <c r="D448" s="25" t="s">
        <v>969</v>
      </c>
      <c r="E448" s="30"/>
      <c r="F448" s="10"/>
      <c r="G448" s="32">
        <f>Source!AL153</f>
        <v>971.55</v>
      </c>
      <c r="H448" s="31" t="str">
        <f>Source!DD153</f>
        <v/>
      </c>
      <c r="I448" s="33">
        <f>ROUND(Source!AC153*Source!I153, 0)</f>
        <v>349</v>
      </c>
      <c r="J448" s="31"/>
      <c r="K448" s="31">
        <f>IF(Source!BC153&lt;&gt; 0, Source!BC153, 1)</f>
        <v>7.84</v>
      </c>
      <c r="L448" s="33">
        <f>Source!P153</f>
        <v>2734</v>
      </c>
      <c r="M448" s="34"/>
    </row>
    <row r="449" spans="1:26" ht="14.4">
      <c r="A449" s="27"/>
      <c r="B449" s="27"/>
      <c r="C449" s="28"/>
      <c r="D449" s="25" t="s">
        <v>964</v>
      </c>
      <c r="E449" s="30" t="s">
        <v>965</v>
      </c>
      <c r="F449" s="10">
        <f>Source!BZ153</f>
        <v>123</v>
      </c>
      <c r="G449" s="92" t="str">
        <f>CONCATENATE(" )", Source!DL153, Source!FT153, "=", Source!FX153)</f>
        <v xml:space="preserve"> )*0,9*0,7=77,49</v>
      </c>
      <c r="H449" s="90"/>
      <c r="I449" s="33">
        <f>SUM(S443:S451)</f>
        <v>99</v>
      </c>
      <c r="J449" s="35"/>
      <c r="K449" s="25">
        <f>Source!AT153</f>
        <v>77</v>
      </c>
      <c r="L449" s="33">
        <f>SUM(T443:T451)</f>
        <v>2060</v>
      </c>
      <c r="M449" s="34"/>
    </row>
    <row r="450" spans="1:26" ht="14.4">
      <c r="A450" s="27"/>
      <c r="B450" s="27"/>
      <c r="C450" s="28"/>
      <c r="D450" s="25" t="s">
        <v>966</v>
      </c>
      <c r="E450" s="30" t="s">
        <v>965</v>
      </c>
      <c r="F450" s="10">
        <f>Source!CA153</f>
        <v>75</v>
      </c>
      <c r="G450" s="92" t="str">
        <f>CONCATENATE(" )", Source!DM153, Source!FU153, "=", Source!FY153)</f>
        <v xml:space="preserve"> )*0,85*0,9=57,375</v>
      </c>
      <c r="H450" s="90"/>
      <c r="I450" s="33">
        <f>SUM(U443:U451)</f>
        <v>73</v>
      </c>
      <c r="J450" s="35"/>
      <c r="K450" s="25">
        <f>Source!AU153</f>
        <v>57</v>
      </c>
      <c r="L450" s="33">
        <f>SUM(V443:V451)</f>
        <v>1525</v>
      </c>
      <c r="M450" s="34"/>
    </row>
    <row r="451" spans="1:26" ht="14.4">
      <c r="A451" s="39"/>
      <c r="B451" s="39"/>
      <c r="C451" s="40"/>
      <c r="D451" s="41" t="s">
        <v>967</v>
      </c>
      <c r="E451" s="42" t="s">
        <v>968</v>
      </c>
      <c r="F451" s="43">
        <f>Source!AQ153</f>
        <v>39.51</v>
      </c>
      <c r="G451" s="44"/>
      <c r="H451" s="45" t="str">
        <f>Source!DI153</f>
        <v>)*1,15</v>
      </c>
      <c r="I451" s="46"/>
      <c r="J451" s="45"/>
      <c r="K451" s="45"/>
      <c r="L451" s="46"/>
      <c r="M451" s="47">
        <f>Source!U153</f>
        <v>16.311703499999997</v>
      </c>
    </row>
    <row r="452" spans="1:26" ht="13.8">
      <c r="H452" s="93">
        <f>ROUND(Source!AC153*Source!I153, 0)+ROUND(Source!AF153*Source!I153, 0)+ROUND(Source!AD153*Source!I153, 0)+SUM(I449:I450)</f>
        <v>663</v>
      </c>
      <c r="I452" s="93"/>
      <c r="K452" s="93">
        <f>Source!O153+SUM(L449:L450)</f>
        <v>9049</v>
      </c>
      <c r="L452" s="93"/>
      <c r="M452" s="38">
        <f>Source!U153</f>
        <v>16.311703499999997</v>
      </c>
      <c r="O452" s="37">
        <f>H452</f>
        <v>663</v>
      </c>
      <c r="P452" s="37">
        <f>K452</f>
        <v>9049</v>
      </c>
      <c r="Q452" s="48">
        <f>M452</f>
        <v>16.311703499999997</v>
      </c>
      <c r="W452">
        <f>IF(Source!BI153&lt;=1,H452, 0)</f>
        <v>663</v>
      </c>
      <c r="X452">
        <f>IF(Source!BI153=2,H452, 0)</f>
        <v>0</v>
      </c>
      <c r="Y452">
        <f>IF(Source!BI153=3,H452, 0)</f>
        <v>0</v>
      </c>
      <c r="Z452">
        <f>IF(Source!BI153=4,H452, 0)</f>
        <v>0</v>
      </c>
    </row>
    <row r="453" spans="1:26" ht="42">
      <c r="A453" s="27">
        <v>55</v>
      </c>
      <c r="B453" s="27" t="str">
        <f>Source!E154</f>
        <v>53</v>
      </c>
      <c r="C453" s="28" t="str">
        <f>Source!F154</f>
        <v>11-01-011-2</v>
      </c>
      <c r="D453" s="25" t="str">
        <f>Source!G154</f>
        <v>Устройство стяжек на каждые 5 мм изменения толщины стяжки добавлять или исключать к расценке 11-01-011-01</v>
      </c>
      <c r="E453" s="30" t="str">
        <f>Source!H154</f>
        <v>100 м2 стяжки</v>
      </c>
      <c r="F453" s="10">
        <f>Source!I154</f>
        <v>0.35899999999999999</v>
      </c>
      <c r="G453" s="32">
        <f>IF(Source!AK154&lt;&gt; 0, Source!AK154,Source!AL154 + Source!AM154 + Source!AO154)</f>
        <v>252.72</v>
      </c>
      <c r="H453" s="31"/>
      <c r="I453" s="33"/>
      <c r="J453" s="31" t="str">
        <f>Source!BO154</f>
        <v>11-01-011-2</v>
      </c>
      <c r="K453" s="31"/>
      <c r="L453" s="33"/>
      <c r="M453" s="34"/>
      <c r="S453">
        <f>ROUND((Source!FX154/100)*((ROUND(Source!AF154*Source!I154, 0)+ROUND(Source!AE154*Source!I154, 0))), 0)</f>
        <v>9</v>
      </c>
      <c r="T453">
        <f>Source!X154</f>
        <v>172</v>
      </c>
      <c r="U453">
        <f>ROUND((Source!FY154/100)*((ROUND(Source!AF154*Source!I154, 0)+ROUND(Source!AE154*Source!I154, 0))), 0)</f>
        <v>6</v>
      </c>
      <c r="V453">
        <f>Source!Y154</f>
        <v>127</v>
      </c>
    </row>
    <row r="454" spans="1:26">
      <c r="D454" s="49" t="str">
        <f>"Объем: "&amp;Source!I154&amp;"=35,9/"&amp;"100"</f>
        <v>Объем: 0,359=35,9/100</v>
      </c>
    </row>
    <row r="455" spans="1:26" ht="14.4">
      <c r="A455" s="27"/>
      <c r="B455" s="27"/>
      <c r="C455" s="28"/>
      <c r="D455" s="25" t="s">
        <v>962</v>
      </c>
      <c r="E455" s="30"/>
      <c r="F455" s="10"/>
      <c r="G455" s="32">
        <f>Source!AO154</f>
        <v>3.72</v>
      </c>
      <c r="H455" s="31" t="str">
        <f>Source!DG154</f>
        <v>)*1,15*4</v>
      </c>
      <c r="I455" s="33">
        <f>ROUND(Source!AF154*Source!I154, 0)</f>
        <v>6</v>
      </c>
      <c r="J455" s="31"/>
      <c r="K455" s="31">
        <f>IF(Source!BA154&lt;&gt; 0, Source!BA154, 1)</f>
        <v>20.88</v>
      </c>
      <c r="L455" s="33">
        <f>Source!S154</f>
        <v>128</v>
      </c>
      <c r="M455" s="34"/>
      <c r="R455">
        <f>I455</f>
        <v>6</v>
      </c>
    </row>
    <row r="456" spans="1:26" ht="14.4">
      <c r="A456" s="27"/>
      <c r="B456" s="27"/>
      <c r="C456" s="28"/>
      <c r="D456" s="25" t="s">
        <v>125</v>
      </c>
      <c r="E456" s="30"/>
      <c r="F456" s="10"/>
      <c r="G456" s="32">
        <f>Source!AM154</f>
        <v>8.27</v>
      </c>
      <c r="H456" s="31" t="str">
        <f>Source!DE154</f>
        <v>)*1,25*4</v>
      </c>
      <c r="I456" s="33">
        <f>ROUND(Source!AD154*Source!I154, 0)</f>
        <v>15</v>
      </c>
      <c r="J456" s="31"/>
      <c r="K456" s="31">
        <f>IF(Source!BB154&lt;&gt; 0, Source!BB154, 1)</f>
        <v>9.1999999999999993</v>
      </c>
      <c r="L456" s="33">
        <f>Source!Q154</f>
        <v>137</v>
      </c>
      <c r="M456" s="34"/>
    </row>
    <row r="457" spans="1:26" ht="14.4">
      <c r="A457" s="27"/>
      <c r="B457" s="27"/>
      <c r="C457" s="28"/>
      <c r="D457" s="25" t="s">
        <v>963</v>
      </c>
      <c r="E457" s="30"/>
      <c r="F457" s="10"/>
      <c r="G457" s="32">
        <f>Source!AN154</f>
        <v>2.54</v>
      </c>
      <c r="H457" s="31" t="str">
        <f>Source!DF154</f>
        <v>)*1,25*4</v>
      </c>
      <c r="I457" s="33">
        <f>ROUND(Source!AE154*Source!I154, 0)</f>
        <v>5</v>
      </c>
      <c r="J457" s="31"/>
      <c r="K457" s="31">
        <f>IF(Source!BS154&lt;&gt; 0, Source!BS154, 1)</f>
        <v>20.88</v>
      </c>
      <c r="L457" s="33">
        <f>Source!R154</f>
        <v>95</v>
      </c>
      <c r="M457" s="34"/>
      <c r="R457">
        <f>I457</f>
        <v>5</v>
      </c>
    </row>
    <row r="458" spans="1:26" ht="14.4">
      <c r="A458" s="27"/>
      <c r="B458" s="27"/>
      <c r="C458" s="28"/>
      <c r="D458" s="25" t="s">
        <v>969</v>
      </c>
      <c r="E458" s="30"/>
      <c r="F458" s="10"/>
      <c r="G458" s="32">
        <f>Source!AL154</f>
        <v>240.73</v>
      </c>
      <c r="H458" s="31" t="str">
        <f>Source!DD154</f>
        <v>*4</v>
      </c>
      <c r="I458" s="33">
        <f>ROUND(Source!AC154*Source!I154, 0)</f>
        <v>346</v>
      </c>
      <c r="J458" s="31"/>
      <c r="K458" s="31">
        <f>IF(Source!BC154&lt;&gt; 0, Source!BC154, 1)</f>
        <v>7.74</v>
      </c>
      <c r="L458" s="33">
        <f>Source!P154</f>
        <v>2676</v>
      </c>
      <c r="M458" s="34"/>
    </row>
    <row r="459" spans="1:26" ht="14.4">
      <c r="A459" s="27"/>
      <c r="B459" s="27"/>
      <c r="C459" s="28"/>
      <c r="D459" s="25" t="s">
        <v>964</v>
      </c>
      <c r="E459" s="30" t="s">
        <v>965</v>
      </c>
      <c r="F459" s="10">
        <f>Source!BZ154</f>
        <v>123</v>
      </c>
      <c r="G459" s="92" t="str">
        <f>CONCATENATE(" )", Source!DL154, Source!FT154, "=", Source!FX154)</f>
        <v xml:space="preserve"> )*0,9*0,7=77,49</v>
      </c>
      <c r="H459" s="90"/>
      <c r="I459" s="33">
        <f>SUM(S453:S461)</f>
        <v>9</v>
      </c>
      <c r="J459" s="35"/>
      <c r="K459" s="25">
        <f>Source!AT154</f>
        <v>77</v>
      </c>
      <c r="L459" s="33">
        <f>SUM(T453:T461)</f>
        <v>172</v>
      </c>
      <c r="M459" s="34"/>
    </row>
    <row r="460" spans="1:26" ht="14.4">
      <c r="A460" s="27"/>
      <c r="B460" s="27"/>
      <c r="C460" s="28"/>
      <c r="D460" s="25" t="s">
        <v>966</v>
      </c>
      <c r="E460" s="30" t="s">
        <v>965</v>
      </c>
      <c r="F460" s="10">
        <f>Source!CA154</f>
        <v>75</v>
      </c>
      <c r="G460" s="92" t="str">
        <f>CONCATENATE(" )", Source!DM154, Source!FU154, "=", Source!FY154)</f>
        <v xml:space="preserve"> )*0,85*0,9=57,375</v>
      </c>
      <c r="H460" s="90"/>
      <c r="I460" s="33">
        <f>SUM(U453:U461)</f>
        <v>6</v>
      </c>
      <c r="J460" s="35"/>
      <c r="K460" s="25">
        <f>Source!AU154</f>
        <v>57</v>
      </c>
      <c r="L460" s="33">
        <f>SUM(V453:V461)</f>
        <v>127</v>
      </c>
      <c r="M460" s="34"/>
    </row>
    <row r="461" spans="1:26" ht="14.4">
      <c r="A461" s="39"/>
      <c r="B461" s="39"/>
      <c r="C461" s="40"/>
      <c r="D461" s="41" t="s">
        <v>967</v>
      </c>
      <c r="E461" s="42" t="s">
        <v>968</v>
      </c>
      <c r="F461" s="43">
        <f>Source!AQ154</f>
        <v>0.5</v>
      </c>
      <c r="G461" s="44"/>
      <c r="H461" s="45" t="str">
        <f>Source!DI154</f>
        <v>)*1,15*4</v>
      </c>
      <c r="I461" s="46"/>
      <c r="J461" s="45"/>
      <c r="K461" s="45"/>
      <c r="L461" s="46"/>
      <c r="M461" s="47">
        <f>Source!U154</f>
        <v>0.82569999999999988</v>
      </c>
    </row>
    <row r="462" spans="1:26" ht="13.8">
      <c r="H462" s="93">
        <f>ROUND(Source!AC154*Source!I154, 0)+ROUND(Source!AF154*Source!I154, 0)+ROUND(Source!AD154*Source!I154, 0)+SUM(I459:I460)</f>
        <v>382</v>
      </c>
      <c r="I462" s="93"/>
      <c r="K462" s="93">
        <f>Source!O154+SUM(L459:L460)</f>
        <v>3240</v>
      </c>
      <c r="L462" s="93"/>
      <c r="M462" s="38">
        <f>Source!U154</f>
        <v>0.82569999999999988</v>
      </c>
      <c r="O462" s="37">
        <f>H462</f>
        <v>382</v>
      </c>
      <c r="P462" s="37">
        <f>K462</f>
        <v>3240</v>
      </c>
      <c r="Q462" s="48">
        <f>M462</f>
        <v>0.82569999999999988</v>
      </c>
      <c r="W462">
        <f>IF(Source!BI154&lt;=1,H462, 0)</f>
        <v>382</v>
      </c>
      <c r="X462">
        <f>IF(Source!BI154=2,H462, 0)</f>
        <v>0</v>
      </c>
      <c r="Y462">
        <f>IF(Source!BI154=3,H462, 0)</f>
        <v>0</v>
      </c>
      <c r="Z462">
        <f>IF(Source!BI154=4,H462, 0)</f>
        <v>0</v>
      </c>
    </row>
    <row r="463" spans="1:26" ht="43.2">
      <c r="A463" s="27">
        <v>56</v>
      </c>
      <c r="B463" s="27" t="str">
        <f>Source!E155</f>
        <v>54</v>
      </c>
      <c r="C463" s="28" t="str">
        <f>Source!F155</f>
        <v>11-01-047-1</v>
      </c>
      <c r="D463" s="25" t="str">
        <f>Source!G155</f>
        <v>Устройство покрытий из плит керамогранитных размером 40х40 см</v>
      </c>
      <c r="E463" s="30" t="str">
        <f>Source!H155</f>
        <v>100 м2 покрытия</v>
      </c>
      <c r="F463" s="10">
        <f>Source!I155</f>
        <v>0.35899999999999999</v>
      </c>
      <c r="G463" s="32">
        <f>IF(Source!AK155&lt;&gt; 0, Source!AK155,Source!AL155 + Source!AM155 + Source!AO155)</f>
        <v>21676.95</v>
      </c>
      <c r="H463" s="31"/>
      <c r="I463" s="33"/>
      <c r="J463" s="31" t="str">
        <f>Source!BO155</f>
        <v>11-01-047-1</v>
      </c>
      <c r="K463" s="31"/>
      <c r="L463" s="33"/>
      <c r="M463" s="34"/>
      <c r="S463">
        <f>ROUND((Source!FX155/100)*((ROUND(Source!AF155*Source!I155, 0)+ROUND(Source!AE155*Source!I155, 0))), 0)</f>
        <v>817</v>
      </c>
      <c r="T463">
        <f>Source!X155</f>
        <v>16946</v>
      </c>
      <c r="U463">
        <f>ROUND((Source!FY155/100)*((ROUND(Source!AF155*Source!I155, 0)+ROUND(Source!AE155*Source!I155, 0))), 0)</f>
        <v>605</v>
      </c>
      <c r="V463">
        <f>Source!Y155</f>
        <v>12545</v>
      </c>
    </row>
    <row r="464" spans="1:26">
      <c r="D464" s="49" t="str">
        <f>"Объем: "&amp;Source!I155&amp;"=35,9/"&amp;"100"</f>
        <v>Объем: 0,359=35,9/100</v>
      </c>
    </row>
    <row r="465" spans="1:26" ht="14.4">
      <c r="A465" s="27"/>
      <c r="B465" s="27"/>
      <c r="C465" s="28"/>
      <c r="D465" s="25" t="s">
        <v>962</v>
      </c>
      <c r="E465" s="30"/>
      <c r="F465" s="10"/>
      <c r="G465" s="32">
        <f>Source!AO155</f>
        <v>2536.13</v>
      </c>
      <c r="H465" s="31" t="str">
        <f>Source!DG155</f>
        <v>)*1,15</v>
      </c>
      <c r="I465" s="33">
        <f>ROUND(Source!AF155*Source!I155, 0)</f>
        <v>1047</v>
      </c>
      <c r="J465" s="31"/>
      <c r="K465" s="31">
        <f>IF(Source!BA155&lt;&gt; 0, Source!BA155, 1)</f>
        <v>20.88</v>
      </c>
      <c r="L465" s="33">
        <f>Source!S155</f>
        <v>21862</v>
      </c>
      <c r="M465" s="34"/>
      <c r="R465">
        <f>I465</f>
        <v>1047</v>
      </c>
    </row>
    <row r="466" spans="1:26" ht="14.4">
      <c r="A466" s="27"/>
      <c r="B466" s="27"/>
      <c r="C466" s="28"/>
      <c r="D466" s="25" t="s">
        <v>125</v>
      </c>
      <c r="E466" s="30"/>
      <c r="F466" s="10"/>
      <c r="G466" s="32">
        <f>Source!AM155</f>
        <v>23.65</v>
      </c>
      <c r="H466" s="31" t="str">
        <f>Source!DE155</f>
        <v>)*1,25</v>
      </c>
      <c r="I466" s="33">
        <f>ROUND(Source!AD155*Source!I155, 0)</f>
        <v>11</v>
      </c>
      <c r="J466" s="31"/>
      <c r="K466" s="31">
        <f>IF(Source!BB155&lt;&gt; 0, Source!BB155, 1)</f>
        <v>16.059999999999999</v>
      </c>
      <c r="L466" s="33">
        <f>Source!Q155</f>
        <v>170</v>
      </c>
      <c r="M466" s="34"/>
    </row>
    <row r="467" spans="1:26" ht="14.4">
      <c r="A467" s="27"/>
      <c r="B467" s="27"/>
      <c r="C467" s="28"/>
      <c r="D467" s="25" t="s">
        <v>963</v>
      </c>
      <c r="E467" s="30"/>
      <c r="F467" s="10"/>
      <c r="G467" s="32">
        <f>Source!AN155</f>
        <v>15.55</v>
      </c>
      <c r="H467" s="31" t="str">
        <f>Source!DF155</f>
        <v>)*1,25</v>
      </c>
      <c r="I467" s="33">
        <f>ROUND(Source!AE155*Source!I155, 0)</f>
        <v>7</v>
      </c>
      <c r="J467" s="31"/>
      <c r="K467" s="31">
        <f>IF(Source!BS155&lt;&gt; 0, Source!BS155, 1)</f>
        <v>20.88</v>
      </c>
      <c r="L467" s="33">
        <f>Source!R155</f>
        <v>146</v>
      </c>
      <c r="M467" s="34"/>
      <c r="R467">
        <f>I467</f>
        <v>7</v>
      </c>
    </row>
    <row r="468" spans="1:26" ht="14.4">
      <c r="A468" s="27"/>
      <c r="B468" s="27"/>
      <c r="C468" s="28"/>
      <c r="D468" s="25" t="s">
        <v>969</v>
      </c>
      <c r="E468" s="30"/>
      <c r="F468" s="10"/>
      <c r="G468" s="32">
        <f>Source!AL155</f>
        <v>19117.169999999998</v>
      </c>
      <c r="H468" s="31" t="str">
        <f>Source!DD155</f>
        <v/>
      </c>
      <c r="I468" s="33">
        <f>ROUND(Source!AC155*Source!I155, 0)</f>
        <v>6863</v>
      </c>
      <c r="J468" s="31"/>
      <c r="K468" s="31">
        <f>IF(Source!BC155&lt;&gt; 0, Source!BC155, 1)</f>
        <v>3.22</v>
      </c>
      <c r="L468" s="33">
        <f>Source!P155</f>
        <v>22099</v>
      </c>
      <c r="M468" s="34"/>
    </row>
    <row r="469" spans="1:26" ht="14.4">
      <c r="A469" s="27"/>
      <c r="B469" s="27"/>
      <c r="C469" s="28"/>
      <c r="D469" s="25" t="s">
        <v>964</v>
      </c>
      <c r="E469" s="30" t="s">
        <v>965</v>
      </c>
      <c r="F469" s="10">
        <f>Source!BZ155</f>
        <v>123</v>
      </c>
      <c r="G469" s="92" t="str">
        <f>CONCATENATE(" )", Source!DL155, Source!FT155, "=", Source!FX155)</f>
        <v xml:space="preserve"> )*0,9*0,7=77,49</v>
      </c>
      <c r="H469" s="90"/>
      <c r="I469" s="33">
        <f>SUM(S463:S471)</f>
        <v>817</v>
      </c>
      <c r="J469" s="35"/>
      <c r="K469" s="25">
        <f>Source!AT155</f>
        <v>77</v>
      </c>
      <c r="L469" s="33">
        <f>SUM(T463:T471)</f>
        <v>16946</v>
      </c>
      <c r="M469" s="34"/>
    </row>
    <row r="470" spans="1:26" ht="14.4">
      <c r="A470" s="27"/>
      <c r="B470" s="27"/>
      <c r="C470" s="28"/>
      <c r="D470" s="25" t="s">
        <v>966</v>
      </c>
      <c r="E470" s="30" t="s">
        <v>965</v>
      </c>
      <c r="F470" s="10">
        <f>Source!CA155</f>
        <v>75</v>
      </c>
      <c r="G470" s="92" t="str">
        <f>CONCATENATE(" )", Source!DM155, Source!FU155, "=", Source!FY155)</f>
        <v xml:space="preserve"> )*0,85*0,9=57,375</v>
      </c>
      <c r="H470" s="90"/>
      <c r="I470" s="33">
        <f>SUM(U463:U471)</f>
        <v>605</v>
      </c>
      <c r="J470" s="35"/>
      <c r="K470" s="25">
        <f>Source!AU155</f>
        <v>57</v>
      </c>
      <c r="L470" s="33">
        <f>SUM(V463:V471)</f>
        <v>12545</v>
      </c>
      <c r="M470" s="34"/>
    </row>
    <row r="471" spans="1:26" ht="14.4">
      <c r="A471" s="39"/>
      <c r="B471" s="39"/>
      <c r="C471" s="40"/>
      <c r="D471" s="41" t="s">
        <v>967</v>
      </c>
      <c r="E471" s="42" t="s">
        <v>968</v>
      </c>
      <c r="F471" s="43">
        <f>Source!AQ155</f>
        <v>310.42</v>
      </c>
      <c r="G471" s="44"/>
      <c r="H471" s="45" t="str">
        <f>Source!DI155</f>
        <v>)*1,15</v>
      </c>
      <c r="I471" s="46"/>
      <c r="J471" s="45"/>
      <c r="K471" s="45"/>
      <c r="L471" s="46"/>
      <c r="M471" s="47">
        <f>Source!U155</f>
        <v>128.15689699999999</v>
      </c>
    </row>
    <row r="472" spans="1:26" ht="13.8">
      <c r="H472" s="93">
        <f>ROUND(Source!AC155*Source!I155, 0)+ROUND(Source!AF155*Source!I155, 0)+ROUND(Source!AD155*Source!I155, 0)+SUM(I469:I470)</f>
        <v>9343</v>
      </c>
      <c r="I472" s="93"/>
      <c r="K472" s="93">
        <f>Source!O155+SUM(L469:L470)</f>
        <v>73622</v>
      </c>
      <c r="L472" s="93"/>
      <c r="M472" s="38">
        <f>Source!U155</f>
        <v>128.15689699999999</v>
      </c>
      <c r="O472" s="37">
        <f>H472</f>
        <v>9343</v>
      </c>
      <c r="P472" s="37">
        <f>K472</f>
        <v>73622</v>
      </c>
      <c r="Q472" s="48">
        <f>M472</f>
        <v>128.15689699999999</v>
      </c>
      <c r="W472">
        <f>IF(Source!BI155&lt;=1,H472, 0)</f>
        <v>9343</v>
      </c>
      <c r="X472">
        <f>IF(Source!BI155=2,H472, 0)</f>
        <v>0</v>
      </c>
      <c r="Y472">
        <f>IF(Source!BI155=3,H472, 0)</f>
        <v>0</v>
      </c>
      <c r="Z472">
        <f>IF(Source!BI155=4,H472, 0)</f>
        <v>0</v>
      </c>
    </row>
    <row r="473" spans="1:26" ht="28.2">
      <c r="A473" s="27">
        <v>57</v>
      </c>
      <c r="B473" s="27" t="str">
        <f>Source!E156</f>
        <v>55</v>
      </c>
      <c r="C473" s="28" t="str">
        <f>Source!F156</f>
        <v>101-6968</v>
      </c>
      <c r="D473" s="25" t="str">
        <f>Source!G156</f>
        <v>Состав грунтовочный ЛАЭС "Грунтовка глубокого проникновения"</v>
      </c>
      <c r="E473" s="30" t="str">
        <f>Source!H156</f>
        <v>кг</v>
      </c>
      <c r="F473" s="10">
        <f>Source!I156</f>
        <v>4.67</v>
      </c>
      <c r="G473" s="32">
        <f>IF(Source!AK156&lt;&gt; 0, Source!AK156,Source!AL156 + Source!AM156 + Source!AO156)</f>
        <v>22.1</v>
      </c>
      <c r="H473" s="31"/>
      <c r="I473" s="33"/>
      <c r="J473" s="31" t="str">
        <f>Source!BO156</f>
        <v>101-6968</v>
      </c>
      <c r="K473" s="31"/>
      <c r="L473" s="33"/>
      <c r="M473" s="34"/>
      <c r="S473">
        <f>ROUND((Source!FX156/100)*((ROUND(Source!AF156*Source!I156, 0)+ROUND(Source!AE156*Source!I156, 0))), 0)</f>
        <v>0</v>
      </c>
      <c r="T473">
        <f>Source!X156</f>
        <v>0</v>
      </c>
      <c r="U473">
        <f>ROUND((Source!FY156/100)*((ROUND(Source!AF156*Source!I156, 0)+ROUND(Source!AE156*Source!I156, 0))), 0)</f>
        <v>0</v>
      </c>
      <c r="V473">
        <f>Source!Y156</f>
        <v>0</v>
      </c>
    </row>
    <row r="474" spans="1:26" ht="14.4">
      <c r="A474" s="39"/>
      <c r="B474" s="39"/>
      <c r="C474" s="40"/>
      <c r="D474" s="41" t="s">
        <v>969</v>
      </c>
      <c r="E474" s="42"/>
      <c r="F474" s="43"/>
      <c r="G474" s="44">
        <f>Source!AL156</f>
        <v>22.1</v>
      </c>
      <c r="H474" s="45" t="str">
        <f>Source!DD156</f>
        <v/>
      </c>
      <c r="I474" s="46">
        <f>ROUND(Source!AC156*Source!I156, 0)</f>
        <v>103</v>
      </c>
      <c r="J474" s="45"/>
      <c r="K474" s="45">
        <f>IF(Source!BC156&lt;&gt; 0, Source!BC156, 1)</f>
        <v>4.21</v>
      </c>
      <c r="L474" s="46">
        <f>Source!P156</f>
        <v>435</v>
      </c>
      <c r="M474" s="52"/>
    </row>
    <row r="475" spans="1:26" ht="13.8">
      <c r="H475" s="93">
        <f>ROUND(Source!AC156*Source!I156, 0)+ROUND(Source!AF156*Source!I156, 0)+ROUND(Source!AD156*Source!I156, 0)</f>
        <v>103</v>
      </c>
      <c r="I475" s="93"/>
      <c r="K475" s="93">
        <f>Source!O156</f>
        <v>435</v>
      </c>
      <c r="L475" s="93"/>
      <c r="M475" s="38">
        <f>Source!U156</f>
        <v>0</v>
      </c>
      <c r="O475" s="37">
        <f>H475</f>
        <v>103</v>
      </c>
      <c r="P475" s="37">
        <f>K475</f>
        <v>435</v>
      </c>
      <c r="Q475" s="48">
        <f>M475</f>
        <v>0</v>
      </c>
      <c r="W475">
        <f>IF(Source!BI156&lt;=1,H475, 0)</f>
        <v>103</v>
      </c>
      <c r="X475">
        <f>IF(Source!BI156=2,H475, 0)</f>
        <v>0</v>
      </c>
      <c r="Y475">
        <f>IF(Source!BI156=3,H475, 0)</f>
        <v>0</v>
      </c>
      <c r="Z475">
        <f>IF(Source!BI156=4,H475, 0)</f>
        <v>0</v>
      </c>
    </row>
    <row r="476" spans="1:26" ht="83.4">
      <c r="A476" s="27">
        <v>58</v>
      </c>
      <c r="B476" s="27" t="str">
        <f>Source!E157</f>
        <v>56</v>
      </c>
      <c r="C476" s="28" t="str">
        <f>Source!F157</f>
        <v>15-01-019-5</v>
      </c>
      <c r="D476" s="25" t="str">
        <f>Source!G157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 (САПОЖКИ)</v>
      </c>
      <c r="E476" s="30" t="str">
        <f>Source!H157</f>
        <v>100 М2 ПОВЕРХНОСТИ ОБЛИЦОВКИ</v>
      </c>
      <c r="F476" s="10">
        <f>Source!I157</f>
        <v>3.2000000000000001E-2</v>
      </c>
      <c r="G476" s="32">
        <f>IF(Source!AK157&lt;&gt; 0, Source!AK157,Source!AL157 + Source!AM157 + Source!AO157)</f>
        <v>10508.87</v>
      </c>
      <c r="H476" s="31"/>
      <c r="I476" s="33"/>
      <c r="J476" s="31" t="str">
        <f>Source!BO157</f>
        <v>15-01-019-5</v>
      </c>
      <c r="K476" s="31"/>
      <c r="L476" s="33"/>
      <c r="M476" s="34"/>
      <c r="S476">
        <f>ROUND((Source!FX157/100)*((ROUND(Source!AF157*Source!I157, 0)+ROUND(Source!AE157*Source!I157, 0))), 0)</f>
        <v>34</v>
      </c>
      <c r="T476">
        <f>Source!X157</f>
        <v>704</v>
      </c>
      <c r="U476">
        <f>ROUND((Source!FY157/100)*((ROUND(Source!AF157*Source!I157, 0)+ROUND(Source!AE157*Source!I157, 0))), 0)</f>
        <v>21</v>
      </c>
      <c r="V476">
        <f>Source!Y157</f>
        <v>448</v>
      </c>
    </row>
    <row r="477" spans="1:26">
      <c r="D477" s="49" t="str">
        <f>"Объем: "&amp;Source!I157&amp;"=3,2/"&amp;"100"</f>
        <v>Объем: 0,032=3,2/100</v>
      </c>
    </row>
    <row r="478" spans="1:26" ht="14.4">
      <c r="A478" s="27"/>
      <c r="B478" s="27"/>
      <c r="C478" s="28"/>
      <c r="D478" s="25" t="s">
        <v>962</v>
      </c>
      <c r="E478" s="30"/>
      <c r="F478" s="10"/>
      <c r="G478" s="32">
        <f>Source!AO157</f>
        <v>1369.97</v>
      </c>
      <c r="H478" s="31" t="str">
        <f>Source!DG157</f>
        <v>)*1,15</v>
      </c>
      <c r="I478" s="33">
        <f>ROUND(Source!AF157*Source!I157, 0)</f>
        <v>50</v>
      </c>
      <c r="J478" s="31"/>
      <c r="K478" s="31">
        <f>IF(Source!BA157&lt;&gt; 0, Source!BA157, 1)</f>
        <v>20.88</v>
      </c>
      <c r="L478" s="33">
        <f>Source!S157</f>
        <v>1053</v>
      </c>
      <c r="M478" s="34"/>
      <c r="R478">
        <f>I478</f>
        <v>50</v>
      </c>
    </row>
    <row r="479" spans="1:26" ht="14.4">
      <c r="A479" s="27"/>
      <c r="B479" s="27"/>
      <c r="C479" s="28"/>
      <c r="D479" s="25" t="s">
        <v>125</v>
      </c>
      <c r="E479" s="30"/>
      <c r="F479" s="10"/>
      <c r="G479" s="32">
        <f>Source!AM157</f>
        <v>30.36</v>
      </c>
      <c r="H479" s="31" t="str">
        <f>Source!DE157</f>
        <v>)*1,25</v>
      </c>
      <c r="I479" s="33">
        <f>ROUND(Source!AD157*Source!I157, 0)</f>
        <v>1</v>
      </c>
      <c r="J479" s="31"/>
      <c r="K479" s="31">
        <f>IF(Source!BB157&lt;&gt; 0, Source!BB157, 1)</f>
        <v>13.63</v>
      </c>
      <c r="L479" s="33">
        <f>Source!Q157</f>
        <v>17</v>
      </c>
      <c r="M479" s="34"/>
    </row>
    <row r="480" spans="1:26" ht="14.4">
      <c r="A480" s="27"/>
      <c r="B480" s="27"/>
      <c r="C480" s="28"/>
      <c r="D480" s="25" t="s">
        <v>963</v>
      </c>
      <c r="E480" s="30"/>
      <c r="F480" s="10"/>
      <c r="G480" s="32">
        <f>Source!AN157</f>
        <v>15.69</v>
      </c>
      <c r="H480" s="31" t="str">
        <f>Source!DF157</f>
        <v>)*1,25</v>
      </c>
      <c r="I480" s="33">
        <f>ROUND(Source!AE157*Source!I157, 0)</f>
        <v>1</v>
      </c>
      <c r="J480" s="31"/>
      <c r="K480" s="31">
        <f>IF(Source!BS157&lt;&gt; 0, Source!BS157, 1)</f>
        <v>20.88</v>
      </c>
      <c r="L480" s="33">
        <f>Source!R157</f>
        <v>13</v>
      </c>
      <c r="M480" s="34"/>
      <c r="R480">
        <f>I480</f>
        <v>1</v>
      </c>
    </row>
    <row r="481" spans="1:28" ht="14.4">
      <c r="A481" s="27"/>
      <c r="B481" s="27"/>
      <c r="C481" s="28"/>
      <c r="D481" s="25" t="s">
        <v>969</v>
      </c>
      <c r="E481" s="30"/>
      <c r="F481" s="10"/>
      <c r="G481" s="32">
        <f>Source!AL157</f>
        <v>9108.5400000000009</v>
      </c>
      <c r="H481" s="31" t="str">
        <f>Source!DD157</f>
        <v/>
      </c>
      <c r="I481" s="33">
        <f>ROUND(Source!AC157*Source!I157, 0)</f>
        <v>291</v>
      </c>
      <c r="J481" s="31"/>
      <c r="K481" s="31">
        <f>IF(Source!BC157&lt;&gt; 0, Source!BC157, 1)</f>
        <v>3.59</v>
      </c>
      <c r="L481" s="33">
        <f>Source!P157</f>
        <v>1046</v>
      </c>
      <c r="M481" s="34"/>
    </row>
    <row r="482" spans="1:28" ht="14.4">
      <c r="A482" s="27"/>
      <c r="B482" s="27"/>
      <c r="C482" s="28"/>
      <c r="D482" s="25" t="s">
        <v>964</v>
      </c>
      <c r="E482" s="30" t="s">
        <v>965</v>
      </c>
      <c r="F482" s="10">
        <f>Source!BZ157</f>
        <v>105</v>
      </c>
      <c r="G482" s="92" t="str">
        <f>CONCATENATE(" )", Source!DL157, Source!FT157, "=", Source!FX157)</f>
        <v xml:space="preserve"> )*0,9*0,7=66,15</v>
      </c>
      <c r="H482" s="90"/>
      <c r="I482" s="33">
        <f>SUM(S476:S485)</f>
        <v>34</v>
      </c>
      <c r="J482" s="35"/>
      <c r="K482" s="25">
        <f>Source!AT157</f>
        <v>66</v>
      </c>
      <c r="L482" s="33">
        <f>SUM(T476:T485)</f>
        <v>704</v>
      </c>
      <c r="M482" s="34"/>
    </row>
    <row r="483" spans="1:28" ht="14.4">
      <c r="A483" s="27"/>
      <c r="B483" s="27"/>
      <c r="C483" s="28"/>
      <c r="D483" s="25" t="s">
        <v>966</v>
      </c>
      <c r="E483" s="30" t="s">
        <v>965</v>
      </c>
      <c r="F483" s="10">
        <f>Source!CA157</f>
        <v>55</v>
      </c>
      <c r="G483" s="92" t="str">
        <f>CONCATENATE(" )", Source!DM157, Source!FU157, "=", Source!FY157)</f>
        <v xml:space="preserve"> )*0,85*0,9=42,075</v>
      </c>
      <c r="H483" s="90"/>
      <c r="I483" s="33">
        <f>SUM(U476:U485)</f>
        <v>21</v>
      </c>
      <c r="J483" s="35"/>
      <c r="K483" s="25">
        <f>Source!AU157</f>
        <v>42</v>
      </c>
      <c r="L483" s="33">
        <f>SUM(V476:V485)</f>
        <v>448</v>
      </c>
      <c r="M483" s="34"/>
    </row>
    <row r="484" spans="1:28" ht="14.4">
      <c r="A484" s="27"/>
      <c r="B484" s="27"/>
      <c r="C484" s="28"/>
      <c r="D484" s="25" t="s">
        <v>967</v>
      </c>
      <c r="E484" s="30" t="s">
        <v>968</v>
      </c>
      <c r="F484" s="10">
        <f>Source!AQ157</f>
        <v>159.66999999999999</v>
      </c>
      <c r="G484" s="32"/>
      <c r="H484" s="31" t="str">
        <f>Source!DI157</f>
        <v>)*1,15</v>
      </c>
      <c r="I484" s="33"/>
      <c r="J484" s="31"/>
      <c r="K484" s="31"/>
      <c r="L484" s="33"/>
      <c r="M484" s="36">
        <f>Source!U157</f>
        <v>5.8758559999999989</v>
      </c>
    </row>
    <row r="485" spans="1:28" ht="43.2">
      <c r="A485" s="53">
        <v>59</v>
      </c>
      <c r="B485" s="53" t="str">
        <f>Source!E158</f>
        <v>56,1</v>
      </c>
      <c r="C485" s="53" t="str">
        <f>Source!F158</f>
        <v>101-0256</v>
      </c>
      <c r="D485" s="53" t="str">
        <f>Source!G158</f>
        <v>Плитки керамические глазурованные для внутренней облицовки стен гладкие без завала белые</v>
      </c>
      <c r="E485" s="54" t="str">
        <f>Source!H158</f>
        <v>м2</v>
      </c>
      <c r="F485" s="55">
        <f>Source!I158</f>
        <v>-3.2</v>
      </c>
      <c r="G485" s="56">
        <f>Source!AK158</f>
        <v>68</v>
      </c>
      <c r="H485" s="57" t="s">
        <v>3</v>
      </c>
      <c r="I485" s="58">
        <f>ROUND(Source!AC158*Source!I158, 0)+ROUND(Source!AD158*Source!I158, 0)+ROUND(Source!AF158*Source!I158, 0)</f>
        <v>-218</v>
      </c>
      <c r="J485" s="54"/>
      <c r="K485" s="54">
        <f>IF(Source!BC158&lt;&gt; 0, Source!BC158, 1)</f>
        <v>3.78</v>
      </c>
      <c r="L485" s="58">
        <f>Source!O158</f>
        <v>-823</v>
      </c>
      <c r="M485" s="56"/>
      <c r="S485">
        <f>ROUND((Source!FX158/100)*((ROUND(Source!AF158*Source!I158, 0)+ROUND(Source!AE158*Source!I158, 0))), 0)</f>
        <v>0</v>
      </c>
      <c r="T485">
        <f>Source!X158</f>
        <v>0</v>
      </c>
      <c r="U485">
        <f>ROUND((Source!FY158/100)*((ROUND(Source!AF158*Source!I158, 0)+ROUND(Source!AE158*Source!I158, 0))), 0)</f>
        <v>0</v>
      </c>
      <c r="V485">
        <f>Source!Y158</f>
        <v>0</v>
      </c>
      <c r="Y485">
        <f>IF(Source!BI158=3,I485, 0)</f>
        <v>0</v>
      </c>
      <c r="AA485">
        <f>ROUND(Source!AC158*Source!I158, 0)+ROUND(Source!AD158*Source!I158, 0)+ROUND(Source!AF158*Source!I158, 0)</f>
        <v>-218</v>
      </c>
      <c r="AB485">
        <f>Source!O158</f>
        <v>-823</v>
      </c>
    </row>
    <row r="486" spans="1:28" ht="13.8">
      <c r="H486" s="93">
        <f>ROUND(Source!AC157*Source!I157, 0)+ROUND(Source!AF157*Source!I157, 0)+ROUND(Source!AD157*Source!I157, 0)+SUM(I482:I483)+SUM(AA485:AA485)</f>
        <v>179</v>
      </c>
      <c r="I486" s="93"/>
      <c r="K486" s="93">
        <f>Source!O157+SUM(L482:L483)+SUM(AB485:AB485)</f>
        <v>2445</v>
      </c>
      <c r="L486" s="93"/>
      <c r="M486" s="38">
        <f>Source!U157</f>
        <v>5.8758559999999989</v>
      </c>
      <c r="O486" s="37">
        <f>H486</f>
        <v>179</v>
      </c>
      <c r="P486" s="37">
        <f>K486</f>
        <v>2445</v>
      </c>
      <c r="Q486" s="48">
        <f>M486</f>
        <v>5.8758559999999989</v>
      </c>
      <c r="W486">
        <f>IF(Source!BI157&lt;=1,H486, 0)</f>
        <v>179</v>
      </c>
      <c r="X486">
        <f>IF(Source!BI157=2,H486, 0)</f>
        <v>0</v>
      </c>
      <c r="Y486">
        <f>IF(Source!BI157=3,H486, 0)</f>
        <v>0</v>
      </c>
      <c r="Z486">
        <f>IF(Source!BI157=4,H486, 0)</f>
        <v>0</v>
      </c>
    </row>
    <row r="487" spans="1:28" ht="28.2">
      <c r="A487" s="27">
        <v>60</v>
      </c>
      <c r="B487" s="27" t="str">
        <f>Source!E159</f>
        <v>57</v>
      </c>
      <c r="C487" s="28" t="str">
        <f>Source!F159</f>
        <v>101-5584</v>
      </c>
      <c r="D487" s="25" t="str">
        <f>Source!G159</f>
        <v>Плитки керамогранитные размером 400х400х9 мм, светло-серые</v>
      </c>
      <c r="E487" s="30" t="str">
        <f>Source!H159</f>
        <v>м2</v>
      </c>
      <c r="F487" s="10">
        <f>Source!I159</f>
        <v>3.2</v>
      </c>
      <c r="G487" s="32">
        <f>IF(Source!AK159&lt;&gt; 0, Source!AK159,Source!AL159 + Source!AM159 + Source!AO159)</f>
        <v>66.73</v>
      </c>
      <c r="H487" s="31"/>
      <c r="I487" s="33"/>
      <c r="J487" s="31" t="str">
        <f>Source!BO159</f>
        <v>101-5584</v>
      </c>
      <c r="K487" s="31"/>
      <c r="L487" s="33"/>
      <c r="M487" s="34"/>
      <c r="S487">
        <f>ROUND((Source!FX159/100)*((ROUND(Source!AF159*Source!I159, 0)+ROUND(Source!AE159*Source!I159, 0))), 0)</f>
        <v>0</v>
      </c>
      <c r="T487">
        <f>Source!X159</f>
        <v>0</v>
      </c>
      <c r="U487">
        <f>ROUND((Source!FY159/100)*((ROUND(Source!AF159*Source!I159, 0)+ROUND(Source!AE159*Source!I159, 0))), 0)</f>
        <v>0</v>
      </c>
      <c r="V487">
        <f>Source!Y159</f>
        <v>0</v>
      </c>
    </row>
    <row r="488" spans="1:28" ht="14.4">
      <c r="A488" s="39"/>
      <c r="B488" s="39"/>
      <c r="C488" s="40"/>
      <c r="D488" s="41" t="s">
        <v>969</v>
      </c>
      <c r="E488" s="42"/>
      <c r="F488" s="43"/>
      <c r="G488" s="44">
        <f>Source!AL159</f>
        <v>66.73</v>
      </c>
      <c r="H488" s="45" t="str">
        <f>Source!DD159</f>
        <v/>
      </c>
      <c r="I488" s="46">
        <f>ROUND(Source!AC159*Source!I159, 0)</f>
        <v>214</v>
      </c>
      <c r="J488" s="45"/>
      <c r="K488" s="45">
        <f>IF(Source!BC159&lt;&gt; 0, Source!BC159, 1)</f>
        <v>4.8600000000000003</v>
      </c>
      <c r="L488" s="46">
        <f>Source!P159</f>
        <v>1038</v>
      </c>
      <c r="M488" s="52"/>
    </row>
    <row r="489" spans="1:28" ht="13.8">
      <c r="H489" s="93">
        <f>ROUND(Source!AC159*Source!I159, 0)+ROUND(Source!AF159*Source!I159, 0)+ROUND(Source!AD159*Source!I159, 0)</f>
        <v>214</v>
      </c>
      <c r="I489" s="93"/>
      <c r="K489" s="93">
        <f>Source!O159</f>
        <v>1038</v>
      </c>
      <c r="L489" s="93"/>
      <c r="M489" s="38">
        <f>Source!U159</f>
        <v>0</v>
      </c>
      <c r="O489" s="37">
        <f>H489</f>
        <v>214</v>
      </c>
      <c r="P489" s="37">
        <f>K489</f>
        <v>1038</v>
      </c>
      <c r="Q489" s="48">
        <f>M489</f>
        <v>0</v>
      </c>
      <c r="W489">
        <f>IF(Source!BI159&lt;=1,H489, 0)</f>
        <v>214</v>
      </c>
      <c r="X489">
        <f>IF(Source!BI159=2,H489, 0)</f>
        <v>0</v>
      </c>
      <c r="Y489">
        <f>IF(Source!BI159=3,H489, 0)</f>
        <v>0</v>
      </c>
      <c r="Z489">
        <f>IF(Source!BI159=4,H489, 0)</f>
        <v>0</v>
      </c>
    </row>
    <row r="490" spans="1:28" ht="86.4">
      <c r="A490" s="27">
        <v>61</v>
      </c>
      <c r="B490" s="27" t="str">
        <f>Source!E160</f>
        <v>58</v>
      </c>
      <c r="C490" s="28" t="str">
        <f>Source!F160</f>
        <v>15-02-031-1</v>
      </c>
      <c r="D490" s="25" t="str">
        <f>Source!G160</f>
        <v>Штукатурка поверхностей оконных и дверных откосов по бетону и камню плоских</v>
      </c>
      <c r="E490" s="30" t="str">
        <f>Source!H160</f>
        <v>100 м2 оштукатуриваемой поверхности</v>
      </c>
      <c r="F490" s="10">
        <f>Source!I160</f>
        <v>2.8400000000000002E-2</v>
      </c>
      <c r="G490" s="32">
        <f>IF(Source!AK160&lt;&gt; 0, Source!AK160,Source!AL160 + Source!AM160 + Source!AO160)</f>
        <v>3575.75</v>
      </c>
      <c r="H490" s="31"/>
      <c r="I490" s="33"/>
      <c r="J490" s="31" t="str">
        <f>Source!BO160</f>
        <v>15-02-031-1</v>
      </c>
      <c r="K490" s="31"/>
      <c r="L490" s="33"/>
      <c r="M490" s="34"/>
      <c r="S490">
        <f>ROUND((Source!FX160/100)*((ROUND(Source!AF160*Source!I160, 0)+ROUND(Source!AE160*Source!I160, 0))), 0)</f>
        <v>39</v>
      </c>
      <c r="T490">
        <f>Source!X160</f>
        <v>809</v>
      </c>
      <c r="U490">
        <f>ROUND((Source!FY160/100)*((ROUND(Source!AF160*Source!I160, 0)+ROUND(Source!AE160*Source!I160, 0))), 0)</f>
        <v>25</v>
      </c>
      <c r="V490">
        <f>Source!Y160</f>
        <v>515</v>
      </c>
    </row>
    <row r="491" spans="1:28">
      <c r="D491" s="49" t="str">
        <f>"Объем: "&amp;Source!I160&amp;"=2,84/"&amp;"100"</f>
        <v>Объем: 0,0284=2,84/100</v>
      </c>
    </row>
    <row r="492" spans="1:28" ht="14.4">
      <c r="A492" s="27"/>
      <c r="B492" s="27"/>
      <c r="C492" s="28"/>
      <c r="D492" s="25" t="s">
        <v>962</v>
      </c>
      <c r="E492" s="30"/>
      <c r="F492" s="10"/>
      <c r="G492" s="32">
        <f>Source!AO160</f>
        <v>1771.24</v>
      </c>
      <c r="H492" s="31" t="str">
        <f>Source!DG160</f>
        <v>)*1,15</v>
      </c>
      <c r="I492" s="33">
        <f>ROUND(Source!AF160*Source!I160, 0)</f>
        <v>58</v>
      </c>
      <c r="J492" s="31"/>
      <c r="K492" s="31">
        <f>IF(Source!BA160&lt;&gt; 0, Source!BA160, 1)</f>
        <v>20.88</v>
      </c>
      <c r="L492" s="33">
        <f>Source!S160</f>
        <v>1208</v>
      </c>
      <c r="M492" s="34"/>
      <c r="R492">
        <f>I492</f>
        <v>58</v>
      </c>
    </row>
    <row r="493" spans="1:28" ht="14.4">
      <c r="A493" s="27"/>
      <c r="B493" s="27"/>
      <c r="C493" s="28"/>
      <c r="D493" s="25" t="s">
        <v>125</v>
      </c>
      <c r="E493" s="30"/>
      <c r="F493" s="10"/>
      <c r="G493" s="32">
        <f>Source!AM160</f>
        <v>66.11</v>
      </c>
      <c r="H493" s="31" t="str">
        <f>Source!DE160</f>
        <v>)*1,25</v>
      </c>
      <c r="I493" s="33">
        <f>ROUND(Source!AD160*Source!I160, 0)</f>
        <v>2</v>
      </c>
      <c r="J493" s="31"/>
      <c r="K493" s="31">
        <f>IF(Source!BB160&lt;&gt; 0, Source!BB160, 1)</f>
        <v>10.210000000000001</v>
      </c>
      <c r="L493" s="33">
        <f>Source!Q160</f>
        <v>24</v>
      </c>
      <c r="M493" s="34"/>
    </row>
    <row r="494" spans="1:28" ht="14.4">
      <c r="A494" s="27"/>
      <c r="B494" s="27"/>
      <c r="C494" s="28"/>
      <c r="D494" s="25" t="s">
        <v>963</v>
      </c>
      <c r="E494" s="30"/>
      <c r="F494" s="10"/>
      <c r="G494" s="32">
        <f>Source!AN160</f>
        <v>24.93</v>
      </c>
      <c r="H494" s="31" t="str">
        <f>Source!DF160</f>
        <v>)*1,25</v>
      </c>
      <c r="I494" s="33">
        <f>ROUND(Source!AE160*Source!I160, 0)</f>
        <v>1</v>
      </c>
      <c r="J494" s="31"/>
      <c r="K494" s="31">
        <f>IF(Source!BS160&lt;&gt; 0, Source!BS160, 1)</f>
        <v>20.88</v>
      </c>
      <c r="L494" s="33">
        <f>Source!R160</f>
        <v>18</v>
      </c>
      <c r="M494" s="34"/>
      <c r="R494">
        <f>I494</f>
        <v>1</v>
      </c>
    </row>
    <row r="495" spans="1:28" ht="14.4">
      <c r="A495" s="27"/>
      <c r="B495" s="27"/>
      <c r="C495" s="28"/>
      <c r="D495" s="25" t="s">
        <v>969</v>
      </c>
      <c r="E495" s="30"/>
      <c r="F495" s="10"/>
      <c r="G495" s="32">
        <f>Source!AL160</f>
        <v>1738.4</v>
      </c>
      <c r="H495" s="31" t="str">
        <f>Source!DD160</f>
        <v/>
      </c>
      <c r="I495" s="33">
        <f>ROUND(Source!AC160*Source!I160, 0)</f>
        <v>49</v>
      </c>
      <c r="J495" s="31"/>
      <c r="K495" s="31">
        <f>IF(Source!BC160&lt;&gt; 0, Source!BC160, 1)</f>
        <v>7.43</v>
      </c>
      <c r="L495" s="33">
        <f>Source!P160</f>
        <v>367</v>
      </c>
      <c r="M495" s="34"/>
    </row>
    <row r="496" spans="1:28" ht="14.4">
      <c r="A496" s="27"/>
      <c r="B496" s="27"/>
      <c r="C496" s="28"/>
      <c r="D496" s="25" t="s">
        <v>964</v>
      </c>
      <c r="E496" s="30" t="s">
        <v>965</v>
      </c>
      <c r="F496" s="10">
        <f>Source!BZ160</f>
        <v>105</v>
      </c>
      <c r="G496" s="92" t="str">
        <f>CONCATENATE(" )", Source!DL160, Source!FT160, "=", Source!FX160)</f>
        <v xml:space="preserve"> )*0,9*0,7=66,15</v>
      </c>
      <c r="H496" s="90"/>
      <c r="I496" s="33">
        <f>SUM(S490:S498)</f>
        <v>39</v>
      </c>
      <c r="J496" s="35"/>
      <c r="K496" s="25">
        <f>Source!AT160</f>
        <v>66</v>
      </c>
      <c r="L496" s="33">
        <f>SUM(T490:T498)</f>
        <v>809</v>
      </c>
      <c r="M496" s="34"/>
    </row>
    <row r="497" spans="1:26" ht="14.4">
      <c r="A497" s="27"/>
      <c r="B497" s="27"/>
      <c r="C497" s="28"/>
      <c r="D497" s="25" t="s">
        <v>966</v>
      </c>
      <c r="E497" s="30" t="s">
        <v>965</v>
      </c>
      <c r="F497" s="10">
        <f>Source!CA160</f>
        <v>55</v>
      </c>
      <c r="G497" s="92" t="str">
        <f>CONCATENATE(" )", Source!DM160, Source!FU160, "=", Source!FY160)</f>
        <v xml:space="preserve"> )*0,85*0,9=42,075</v>
      </c>
      <c r="H497" s="90"/>
      <c r="I497" s="33">
        <f>SUM(U490:U498)</f>
        <v>25</v>
      </c>
      <c r="J497" s="35"/>
      <c r="K497" s="25">
        <f>Source!AU160</f>
        <v>42</v>
      </c>
      <c r="L497" s="33">
        <f>SUM(V490:V498)</f>
        <v>515</v>
      </c>
      <c r="M497" s="34"/>
    </row>
    <row r="498" spans="1:26" ht="14.4">
      <c r="A498" s="39"/>
      <c r="B498" s="39"/>
      <c r="C498" s="40"/>
      <c r="D498" s="41" t="s">
        <v>967</v>
      </c>
      <c r="E498" s="42" t="s">
        <v>968</v>
      </c>
      <c r="F498" s="43">
        <f>Source!AQ160</f>
        <v>204.06</v>
      </c>
      <c r="G498" s="44"/>
      <c r="H498" s="45" t="str">
        <f>Source!DI160</f>
        <v>)*1,15</v>
      </c>
      <c r="I498" s="46"/>
      <c r="J498" s="45"/>
      <c r="K498" s="45"/>
      <c r="L498" s="46"/>
      <c r="M498" s="47">
        <f>Source!U160</f>
        <v>6.6645995999999998</v>
      </c>
    </row>
    <row r="499" spans="1:26" ht="13.8">
      <c r="H499" s="93">
        <f>ROUND(Source!AC160*Source!I160, 0)+ROUND(Source!AF160*Source!I160, 0)+ROUND(Source!AD160*Source!I160, 0)+SUM(I496:I497)</f>
        <v>173</v>
      </c>
      <c r="I499" s="93"/>
      <c r="K499" s="93">
        <f>Source!O160+SUM(L496:L497)</f>
        <v>2923</v>
      </c>
      <c r="L499" s="93"/>
      <c r="M499" s="38">
        <f>Source!U160</f>
        <v>6.6645995999999998</v>
      </c>
      <c r="O499" s="37">
        <f>H499</f>
        <v>173</v>
      </c>
      <c r="P499" s="37">
        <f>K499</f>
        <v>2923</v>
      </c>
      <c r="Q499" s="48">
        <f>M499</f>
        <v>6.6645995999999998</v>
      </c>
      <c r="W499">
        <f>IF(Source!BI160&lt;=1,H499, 0)</f>
        <v>173</v>
      </c>
      <c r="X499">
        <f>IF(Source!BI160=2,H499, 0)</f>
        <v>0</v>
      </c>
      <c r="Y499">
        <f>IF(Source!BI160=3,H499, 0)</f>
        <v>0</v>
      </c>
      <c r="Z499">
        <f>IF(Source!BI160=4,H499, 0)</f>
        <v>0</v>
      </c>
    </row>
    <row r="500" spans="1:26" ht="69.599999999999994">
      <c r="A500" s="27">
        <v>62</v>
      </c>
      <c r="B500" s="27" t="str">
        <f>Source!E161</f>
        <v>59</v>
      </c>
      <c r="C500" s="28" t="str">
        <f>Source!F161</f>
        <v>10-05-009-1</v>
      </c>
      <c r="D500" s="25" t="str">
        <f>Source!G161</f>
        <v>Облицовка стен по системе «КНАУФ» по одинарному металлическому каркасу из ПН и ПС профилей гипсокартонными листами в один слой (С 625) оконным проемом</v>
      </c>
      <c r="E500" s="30" t="str">
        <f>Source!H161</f>
        <v>100 м2 стен (за вычетом проемов)</v>
      </c>
      <c r="F500" s="10">
        <f>Source!I161</f>
        <v>1.4999999999999999E-2</v>
      </c>
      <c r="G500" s="32">
        <f>IF(Source!AK161&lt;&gt; 0, Source!AK161,Source!AL161 + Source!AM161 + Source!AO161)</f>
        <v>5852.26</v>
      </c>
      <c r="H500" s="31"/>
      <c r="I500" s="33"/>
      <c r="J500" s="31" t="str">
        <f>Source!BO161</f>
        <v>10-05-009-1</v>
      </c>
      <c r="K500" s="31"/>
      <c r="L500" s="33"/>
      <c r="M500" s="34"/>
      <c r="S500">
        <f>ROUND((Source!FX161/100)*((ROUND(Source!AF161*Source!I161, 0)+ROUND(Source!AE161*Source!I161, 0))), 0)</f>
        <v>7</v>
      </c>
      <c r="T500">
        <f>Source!X161</f>
        <v>161</v>
      </c>
      <c r="U500">
        <f>ROUND((Source!FY161/100)*((ROUND(Source!AF161*Source!I161, 0)+ROUND(Source!AE161*Source!I161, 0))), 0)</f>
        <v>5</v>
      </c>
      <c r="V500">
        <f>Source!Y161</f>
        <v>104</v>
      </c>
    </row>
    <row r="501" spans="1:26">
      <c r="D501" s="49" t="str">
        <f>"Объем: "&amp;Source!I161&amp;"=1,5/"&amp;"100"</f>
        <v>Объем: 0,015=1,5/100</v>
      </c>
    </row>
    <row r="502" spans="1:26" ht="14.4">
      <c r="A502" s="27"/>
      <c r="B502" s="27"/>
      <c r="C502" s="28"/>
      <c r="D502" s="25" t="s">
        <v>962</v>
      </c>
      <c r="E502" s="30"/>
      <c r="F502" s="10"/>
      <c r="G502" s="32">
        <f>Source!AO161</f>
        <v>602.08000000000004</v>
      </c>
      <c r="H502" s="31" t="str">
        <f>Source!DG161</f>
        <v>)*1,15</v>
      </c>
      <c r="I502" s="33">
        <f>ROUND(Source!AF161*Source!I161, 0)</f>
        <v>10</v>
      </c>
      <c r="J502" s="31"/>
      <c r="K502" s="31">
        <f>IF(Source!BA161&lt;&gt; 0, Source!BA161, 1)</f>
        <v>20.88</v>
      </c>
      <c r="L502" s="33">
        <f>Source!S161</f>
        <v>217</v>
      </c>
      <c r="M502" s="34"/>
      <c r="R502">
        <f>I502</f>
        <v>10</v>
      </c>
    </row>
    <row r="503" spans="1:26" ht="14.4">
      <c r="A503" s="27"/>
      <c r="B503" s="27"/>
      <c r="C503" s="28"/>
      <c r="D503" s="25" t="s">
        <v>125</v>
      </c>
      <c r="E503" s="30"/>
      <c r="F503" s="10"/>
      <c r="G503" s="32">
        <f>Source!AM161</f>
        <v>18.34</v>
      </c>
      <c r="H503" s="31" t="str">
        <f>Source!DE161</f>
        <v>)*1,25</v>
      </c>
      <c r="I503" s="33">
        <f>ROUND(Source!AD161*Source!I161, 0)</f>
        <v>0</v>
      </c>
      <c r="J503" s="31"/>
      <c r="K503" s="31">
        <f>IF(Source!BB161&lt;&gt; 0, Source!BB161, 1)</f>
        <v>3.57</v>
      </c>
      <c r="L503" s="33">
        <f>Source!Q161</f>
        <v>1</v>
      </c>
      <c r="M503" s="34"/>
    </row>
    <row r="504" spans="1:26" ht="14.4">
      <c r="A504" s="27"/>
      <c r="B504" s="27"/>
      <c r="C504" s="28"/>
      <c r="D504" s="25" t="s">
        <v>969</v>
      </c>
      <c r="E504" s="30"/>
      <c r="F504" s="10"/>
      <c r="G504" s="32">
        <f>Source!AL161</f>
        <v>5231.84</v>
      </c>
      <c r="H504" s="31" t="str">
        <f>Source!DD161</f>
        <v/>
      </c>
      <c r="I504" s="33">
        <f>ROUND(Source!AC161*Source!I161, 0)</f>
        <v>78</v>
      </c>
      <c r="J504" s="31"/>
      <c r="K504" s="31">
        <f>IF(Source!BC161&lt;&gt; 0, Source!BC161, 1)</f>
        <v>5.65</v>
      </c>
      <c r="L504" s="33">
        <f>Source!P161</f>
        <v>443</v>
      </c>
      <c r="M504" s="34"/>
    </row>
    <row r="505" spans="1:26" ht="14.4">
      <c r="A505" s="27"/>
      <c r="B505" s="27"/>
      <c r="C505" s="28"/>
      <c r="D505" s="25" t="s">
        <v>964</v>
      </c>
      <c r="E505" s="30" t="s">
        <v>965</v>
      </c>
      <c r="F505" s="10">
        <f>Source!BZ161</f>
        <v>118</v>
      </c>
      <c r="G505" s="92" t="str">
        <f>CONCATENATE(" )", Source!DL161, Source!FT161, "=", Source!FX161)</f>
        <v xml:space="preserve"> )*0,9*0,7=74,34</v>
      </c>
      <c r="H505" s="90"/>
      <c r="I505" s="33">
        <f>SUM(S500:S507)</f>
        <v>7</v>
      </c>
      <c r="J505" s="35"/>
      <c r="K505" s="25">
        <f>Source!AT161</f>
        <v>74</v>
      </c>
      <c r="L505" s="33">
        <f>SUM(T500:T507)</f>
        <v>161</v>
      </c>
      <c r="M505" s="34"/>
    </row>
    <row r="506" spans="1:26" ht="14.4">
      <c r="A506" s="27"/>
      <c r="B506" s="27"/>
      <c r="C506" s="28"/>
      <c r="D506" s="25" t="s">
        <v>966</v>
      </c>
      <c r="E506" s="30" t="s">
        <v>965</v>
      </c>
      <c r="F506" s="10">
        <f>Source!CA161</f>
        <v>63</v>
      </c>
      <c r="G506" s="92" t="str">
        <f>CONCATENATE(" )", Source!DM161, Source!FU161, "=", Source!FY161)</f>
        <v xml:space="preserve"> )*0,85*0,9=48,195</v>
      </c>
      <c r="H506" s="90"/>
      <c r="I506" s="33">
        <f>SUM(U500:U507)</f>
        <v>5</v>
      </c>
      <c r="J506" s="35"/>
      <c r="K506" s="25">
        <f>Source!AU161</f>
        <v>48</v>
      </c>
      <c r="L506" s="33">
        <f>SUM(V500:V507)</f>
        <v>104</v>
      </c>
      <c r="M506" s="34"/>
    </row>
    <row r="507" spans="1:26" ht="14.4">
      <c r="A507" s="39"/>
      <c r="B507" s="39"/>
      <c r="C507" s="40"/>
      <c r="D507" s="41" t="s">
        <v>967</v>
      </c>
      <c r="E507" s="42" t="s">
        <v>968</v>
      </c>
      <c r="F507" s="43">
        <f>Source!AQ161</f>
        <v>71</v>
      </c>
      <c r="G507" s="44"/>
      <c r="H507" s="45" t="str">
        <f>Source!DI161</f>
        <v>)*1,15</v>
      </c>
      <c r="I507" s="46"/>
      <c r="J507" s="45"/>
      <c r="K507" s="45"/>
      <c r="L507" s="46"/>
      <c r="M507" s="47">
        <f>Source!U161</f>
        <v>1.2247499999999998</v>
      </c>
    </row>
    <row r="508" spans="1:26" ht="13.8">
      <c r="H508" s="93">
        <f>ROUND(Source!AC161*Source!I161, 0)+ROUND(Source!AF161*Source!I161, 0)+ROUND(Source!AD161*Source!I161, 0)+SUM(I505:I506)</f>
        <v>100</v>
      </c>
      <c r="I508" s="93"/>
      <c r="K508" s="93">
        <f>Source!O161+SUM(L505:L506)</f>
        <v>926</v>
      </c>
      <c r="L508" s="93"/>
      <c r="M508" s="38">
        <f>Source!U161</f>
        <v>1.2247499999999998</v>
      </c>
      <c r="O508" s="37">
        <f>H508</f>
        <v>100</v>
      </c>
      <c r="P508" s="37">
        <f>K508</f>
        <v>926</v>
      </c>
      <c r="Q508" s="48">
        <f>M508</f>
        <v>1.2247499999999998</v>
      </c>
      <c r="W508">
        <f>IF(Source!BI161&lt;=1,H508, 0)</f>
        <v>100</v>
      </c>
      <c r="X508">
        <f>IF(Source!BI161=2,H508, 0)</f>
        <v>0</v>
      </c>
      <c r="Y508">
        <f>IF(Source!BI161=3,H508, 0)</f>
        <v>0</v>
      </c>
      <c r="Z508">
        <f>IF(Source!BI161=4,H508, 0)</f>
        <v>0</v>
      </c>
    </row>
    <row r="509" spans="1:26" ht="83.4">
      <c r="A509" s="27">
        <v>63</v>
      </c>
      <c r="B509" s="27" t="str">
        <f>Source!E162</f>
        <v>60</v>
      </c>
      <c r="C509" s="28" t="str">
        <f>Source!F162</f>
        <v>15-01-019-5</v>
      </c>
      <c r="D509" s="25" t="str">
        <f>Source!G162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E509" s="30" t="str">
        <f>Source!H162</f>
        <v>100 М2 ПОВЕРХНОСТИ ОБЛИЦОВКИ</v>
      </c>
      <c r="F509" s="10">
        <f>Source!I162</f>
        <v>0.02</v>
      </c>
      <c r="G509" s="32">
        <f>IF(Source!AK162&lt;&gt; 0, Source!AK162,Source!AL162 + Source!AM162 + Source!AO162)</f>
        <v>10508.87</v>
      </c>
      <c r="H509" s="31"/>
      <c r="I509" s="33"/>
      <c r="J509" s="31" t="str">
        <f>Source!BO162</f>
        <v>15-01-019-5</v>
      </c>
      <c r="K509" s="31"/>
      <c r="L509" s="33"/>
      <c r="M509" s="34"/>
      <c r="S509">
        <f>ROUND((Source!FX162/100)*((ROUND(Source!AF162*Source!I162, 0)+ROUND(Source!AE162*Source!I162, 0))), 0)</f>
        <v>21</v>
      </c>
      <c r="T509">
        <f>Source!X162</f>
        <v>440</v>
      </c>
      <c r="U509">
        <f>ROUND((Source!FY162/100)*((ROUND(Source!AF162*Source!I162, 0)+ROUND(Source!AE162*Source!I162, 0))), 0)</f>
        <v>13</v>
      </c>
      <c r="V509">
        <f>Source!Y162</f>
        <v>280</v>
      </c>
    </row>
    <row r="510" spans="1:26">
      <c r="D510" s="49" t="str">
        <f>"Объем: "&amp;Source!I162&amp;"=2/"&amp;"100"</f>
        <v>Объем: 0,02=2/100</v>
      </c>
    </row>
    <row r="511" spans="1:26" ht="14.4">
      <c r="A511" s="27"/>
      <c r="B511" s="27"/>
      <c r="C511" s="28"/>
      <c r="D511" s="25" t="s">
        <v>962</v>
      </c>
      <c r="E511" s="30"/>
      <c r="F511" s="10"/>
      <c r="G511" s="32">
        <f>Source!AO162</f>
        <v>1369.97</v>
      </c>
      <c r="H511" s="31" t="str">
        <f>Source!DG162</f>
        <v>)*1,15</v>
      </c>
      <c r="I511" s="33">
        <f>ROUND(Source!AF162*Source!I162, 0)</f>
        <v>32</v>
      </c>
      <c r="J511" s="31"/>
      <c r="K511" s="31">
        <f>IF(Source!BA162&lt;&gt; 0, Source!BA162, 1)</f>
        <v>20.88</v>
      </c>
      <c r="L511" s="33">
        <f>Source!S162</f>
        <v>658</v>
      </c>
      <c r="M511" s="34"/>
      <c r="R511">
        <f>I511</f>
        <v>32</v>
      </c>
    </row>
    <row r="512" spans="1:26" ht="14.4">
      <c r="A512" s="27"/>
      <c r="B512" s="27"/>
      <c r="C512" s="28"/>
      <c r="D512" s="25" t="s">
        <v>125</v>
      </c>
      <c r="E512" s="30"/>
      <c r="F512" s="10"/>
      <c r="G512" s="32">
        <f>Source!AM162</f>
        <v>30.36</v>
      </c>
      <c r="H512" s="31" t="str">
        <f>Source!DE162</f>
        <v>)*1,25</v>
      </c>
      <c r="I512" s="33">
        <f>ROUND(Source!AD162*Source!I162, 0)</f>
        <v>1</v>
      </c>
      <c r="J512" s="31"/>
      <c r="K512" s="31">
        <f>IF(Source!BB162&lt;&gt; 0, Source!BB162, 1)</f>
        <v>13.63</v>
      </c>
      <c r="L512" s="33">
        <f>Source!Q162</f>
        <v>10</v>
      </c>
      <c r="M512" s="34"/>
    </row>
    <row r="513" spans="1:28" ht="14.4">
      <c r="A513" s="27"/>
      <c r="B513" s="27"/>
      <c r="C513" s="28"/>
      <c r="D513" s="25" t="s">
        <v>963</v>
      </c>
      <c r="E513" s="30"/>
      <c r="F513" s="10"/>
      <c r="G513" s="32">
        <f>Source!AN162</f>
        <v>15.69</v>
      </c>
      <c r="H513" s="31" t="str">
        <f>Source!DF162</f>
        <v>)*1,25</v>
      </c>
      <c r="I513" s="33">
        <f>ROUND(Source!AE162*Source!I162, 0)</f>
        <v>0</v>
      </c>
      <c r="J513" s="31"/>
      <c r="K513" s="31">
        <f>IF(Source!BS162&lt;&gt; 0, Source!BS162, 1)</f>
        <v>20.88</v>
      </c>
      <c r="L513" s="33">
        <f>Source!R162</f>
        <v>8</v>
      </c>
      <c r="M513" s="34"/>
      <c r="R513">
        <f>I513</f>
        <v>0</v>
      </c>
    </row>
    <row r="514" spans="1:28" ht="14.4">
      <c r="A514" s="27"/>
      <c r="B514" s="27"/>
      <c r="C514" s="28"/>
      <c r="D514" s="25" t="s">
        <v>969</v>
      </c>
      <c r="E514" s="30"/>
      <c r="F514" s="10"/>
      <c r="G514" s="32">
        <f>Source!AL162</f>
        <v>9108.5400000000009</v>
      </c>
      <c r="H514" s="31" t="str">
        <f>Source!DD162</f>
        <v/>
      </c>
      <c r="I514" s="33">
        <f>ROUND(Source!AC162*Source!I162, 0)</f>
        <v>182</v>
      </c>
      <c r="J514" s="31"/>
      <c r="K514" s="31">
        <f>IF(Source!BC162&lt;&gt; 0, Source!BC162, 1)</f>
        <v>3.59</v>
      </c>
      <c r="L514" s="33">
        <f>Source!P162</f>
        <v>654</v>
      </c>
      <c r="M514" s="34"/>
    </row>
    <row r="515" spans="1:28" ht="14.4">
      <c r="A515" s="27"/>
      <c r="B515" s="27"/>
      <c r="C515" s="28"/>
      <c r="D515" s="25" t="s">
        <v>964</v>
      </c>
      <c r="E515" s="30" t="s">
        <v>965</v>
      </c>
      <c r="F515" s="10">
        <f>Source!BZ162</f>
        <v>105</v>
      </c>
      <c r="G515" s="92" t="str">
        <f>CONCATENATE(" )", Source!DL162, Source!FT162, "=", Source!FX162)</f>
        <v xml:space="preserve"> )*0,9*0,7=66,15</v>
      </c>
      <c r="H515" s="90"/>
      <c r="I515" s="33">
        <f>SUM(S509:S518)</f>
        <v>21</v>
      </c>
      <c r="J515" s="35"/>
      <c r="K515" s="25">
        <f>Source!AT162</f>
        <v>66</v>
      </c>
      <c r="L515" s="33">
        <f>SUM(T509:T518)</f>
        <v>440</v>
      </c>
      <c r="M515" s="34"/>
    </row>
    <row r="516" spans="1:28" ht="14.4">
      <c r="A516" s="27"/>
      <c r="B516" s="27"/>
      <c r="C516" s="28"/>
      <c r="D516" s="25" t="s">
        <v>966</v>
      </c>
      <c r="E516" s="30" t="s">
        <v>965</v>
      </c>
      <c r="F516" s="10">
        <f>Source!CA162</f>
        <v>55</v>
      </c>
      <c r="G516" s="92" t="str">
        <f>CONCATENATE(" )", Source!DM162, Source!FU162, "=", Source!FY162)</f>
        <v xml:space="preserve"> )*0,85*0,9=42,075</v>
      </c>
      <c r="H516" s="90"/>
      <c r="I516" s="33">
        <f>SUM(U509:U518)</f>
        <v>13</v>
      </c>
      <c r="J516" s="35"/>
      <c r="K516" s="25">
        <f>Source!AU162</f>
        <v>42</v>
      </c>
      <c r="L516" s="33">
        <f>SUM(V509:V518)</f>
        <v>280</v>
      </c>
      <c r="M516" s="34"/>
    </row>
    <row r="517" spans="1:28" ht="14.4">
      <c r="A517" s="27"/>
      <c r="B517" s="27"/>
      <c r="C517" s="28"/>
      <c r="D517" s="25" t="s">
        <v>967</v>
      </c>
      <c r="E517" s="30" t="s">
        <v>968</v>
      </c>
      <c r="F517" s="10">
        <f>Source!AQ162</f>
        <v>159.66999999999999</v>
      </c>
      <c r="G517" s="32"/>
      <c r="H517" s="31" t="str">
        <f>Source!DI162</f>
        <v>)*1,15</v>
      </c>
      <c r="I517" s="33"/>
      <c r="J517" s="31"/>
      <c r="K517" s="31"/>
      <c r="L517" s="33"/>
      <c r="M517" s="36">
        <f>Source!U162</f>
        <v>3.6724099999999993</v>
      </c>
    </row>
    <row r="518" spans="1:28" ht="43.2">
      <c r="A518" s="53">
        <v>64</v>
      </c>
      <c r="B518" s="53" t="str">
        <f>Source!E163</f>
        <v>60,1</v>
      </c>
      <c r="C518" s="53" t="str">
        <f>Source!F163</f>
        <v>101-0256</v>
      </c>
      <c r="D518" s="53" t="str">
        <f>Source!G163</f>
        <v>Плитки керамические глазурованные для внутренней облицовки стен гладкие без завала белые</v>
      </c>
      <c r="E518" s="54" t="str">
        <f>Source!H163</f>
        <v>м2</v>
      </c>
      <c r="F518" s="55">
        <f>Source!I163</f>
        <v>-2</v>
      </c>
      <c r="G518" s="56">
        <f>Source!AK163</f>
        <v>68</v>
      </c>
      <c r="H518" s="57" t="s">
        <v>3</v>
      </c>
      <c r="I518" s="58">
        <f>ROUND(Source!AC163*Source!I163, 0)+ROUND(Source!AD163*Source!I163, 0)+ROUND(Source!AF163*Source!I163, 0)</f>
        <v>-136</v>
      </c>
      <c r="J518" s="54"/>
      <c r="K518" s="54">
        <f>IF(Source!BC163&lt;&gt; 0, Source!BC163, 1)</f>
        <v>3.78</v>
      </c>
      <c r="L518" s="58">
        <f>Source!O163</f>
        <v>-514</v>
      </c>
      <c r="M518" s="56"/>
      <c r="S518">
        <f>ROUND((Source!FX163/100)*((ROUND(Source!AF163*Source!I163, 0)+ROUND(Source!AE163*Source!I163, 0))), 0)</f>
        <v>0</v>
      </c>
      <c r="T518">
        <f>Source!X163</f>
        <v>0</v>
      </c>
      <c r="U518">
        <f>ROUND((Source!FY163/100)*((ROUND(Source!AF163*Source!I163, 0)+ROUND(Source!AE163*Source!I163, 0))), 0)</f>
        <v>0</v>
      </c>
      <c r="V518">
        <f>Source!Y163</f>
        <v>0</v>
      </c>
      <c r="Y518">
        <f>IF(Source!BI163=3,I518, 0)</f>
        <v>0</v>
      </c>
      <c r="AA518">
        <f>ROUND(Source!AC163*Source!I163, 0)+ROUND(Source!AD163*Source!I163, 0)+ROUND(Source!AF163*Source!I163, 0)</f>
        <v>-136</v>
      </c>
      <c r="AB518">
        <f>Source!O163</f>
        <v>-514</v>
      </c>
    </row>
    <row r="519" spans="1:28" ht="13.8">
      <c r="H519" s="93">
        <f>ROUND(Source!AC162*Source!I162, 0)+ROUND(Source!AF162*Source!I162, 0)+ROUND(Source!AD162*Source!I162, 0)+SUM(I515:I516)+SUM(AA518:AA518)</f>
        <v>113</v>
      </c>
      <c r="I519" s="93"/>
      <c r="K519" s="93">
        <f>Source!O162+SUM(L515:L516)+SUM(AB518:AB518)</f>
        <v>1528</v>
      </c>
      <c r="L519" s="93"/>
      <c r="M519" s="38">
        <f>Source!U162</f>
        <v>3.6724099999999993</v>
      </c>
      <c r="O519" s="37">
        <f>H519</f>
        <v>113</v>
      </c>
      <c r="P519" s="37">
        <f>K519</f>
        <v>1528</v>
      </c>
      <c r="Q519" s="48">
        <f>M519</f>
        <v>3.6724099999999993</v>
      </c>
      <c r="W519">
        <f>IF(Source!BI162&lt;=1,H519, 0)</f>
        <v>113</v>
      </c>
      <c r="X519">
        <f>IF(Source!BI162=2,H519, 0)</f>
        <v>0</v>
      </c>
      <c r="Y519">
        <f>IF(Source!BI162=3,H519, 0)</f>
        <v>0</v>
      </c>
      <c r="Z519">
        <f>IF(Source!BI162=4,H519, 0)</f>
        <v>0</v>
      </c>
    </row>
    <row r="520" spans="1:28" ht="42">
      <c r="A520" s="27">
        <v>65</v>
      </c>
      <c r="B520" s="27" t="str">
        <f>Source!E164</f>
        <v>61</v>
      </c>
      <c r="C520" s="28" t="str">
        <f>Source!F164</f>
        <v>101-0258</v>
      </c>
      <c r="D520" s="25" t="str">
        <f>Source!G164</f>
        <v>Плитки керамические глазурованные для внутренней облицовки стен гладкие без завала цветные (однотонные)</v>
      </c>
      <c r="E520" s="30" t="str">
        <f>Source!H164</f>
        <v>м2</v>
      </c>
      <c r="F520" s="10">
        <f>Source!I164</f>
        <v>2</v>
      </c>
      <c r="G520" s="32">
        <f>IF(Source!AK164&lt;&gt; 0, Source!AK164,Source!AL164 + Source!AM164 + Source!AO164)</f>
        <v>110.96</v>
      </c>
      <c r="H520" s="31"/>
      <c r="I520" s="33"/>
      <c r="J520" s="31" t="str">
        <f>Source!BO164</f>
        <v>101-0258</v>
      </c>
      <c r="K520" s="31"/>
      <c r="L520" s="33"/>
      <c r="M520" s="34"/>
      <c r="S520">
        <f>ROUND((Source!FX164/100)*((ROUND(Source!AF164*Source!I164, 0)+ROUND(Source!AE164*Source!I164, 0))), 0)</f>
        <v>0</v>
      </c>
      <c r="T520">
        <f>Source!X164</f>
        <v>0</v>
      </c>
      <c r="U520">
        <f>ROUND((Source!FY164/100)*((ROUND(Source!AF164*Source!I164, 0)+ROUND(Source!AE164*Source!I164, 0))), 0)</f>
        <v>0</v>
      </c>
      <c r="V520">
        <f>Source!Y164</f>
        <v>0</v>
      </c>
    </row>
    <row r="521" spans="1:28" ht="14.4">
      <c r="A521" s="39"/>
      <c r="B521" s="39"/>
      <c r="C521" s="40"/>
      <c r="D521" s="41" t="s">
        <v>969</v>
      </c>
      <c r="E521" s="42"/>
      <c r="F521" s="43"/>
      <c r="G521" s="44">
        <f>Source!AL164</f>
        <v>110.96</v>
      </c>
      <c r="H521" s="45" t="str">
        <f>Source!DD164</f>
        <v/>
      </c>
      <c r="I521" s="46">
        <f>ROUND(Source!AC164*Source!I164, 0)</f>
        <v>222</v>
      </c>
      <c r="J521" s="45"/>
      <c r="K521" s="45">
        <f>IF(Source!BC164&lt;&gt; 0, Source!BC164, 1)</f>
        <v>3.55</v>
      </c>
      <c r="L521" s="46">
        <f>Source!P164</f>
        <v>788</v>
      </c>
      <c r="M521" s="52"/>
    </row>
    <row r="522" spans="1:28" ht="13.8">
      <c r="H522" s="93">
        <f>ROUND(Source!AC164*Source!I164, 0)+ROUND(Source!AF164*Source!I164, 0)+ROUND(Source!AD164*Source!I164, 0)</f>
        <v>222</v>
      </c>
      <c r="I522" s="93"/>
      <c r="K522" s="93">
        <f>Source!O164</f>
        <v>788</v>
      </c>
      <c r="L522" s="93"/>
      <c r="M522" s="38">
        <f>Source!U164</f>
        <v>0</v>
      </c>
      <c r="O522" s="37">
        <f>H522</f>
        <v>222</v>
      </c>
      <c r="P522" s="37">
        <f>K522</f>
        <v>788</v>
      </c>
      <c r="Q522" s="48">
        <f>M522</f>
        <v>0</v>
      </c>
      <c r="W522">
        <f>IF(Source!BI164&lt;=1,H522, 0)</f>
        <v>222</v>
      </c>
      <c r="X522">
        <f>IF(Source!BI164=2,H522, 0)</f>
        <v>0</v>
      </c>
      <c r="Y522">
        <f>IF(Source!BI164=3,H522, 0)</f>
        <v>0</v>
      </c>
      <c r="Z522">
        <f>IF(Source!BI164=4,H522, 0)</f>
        <v>0</v>
      </c>
    </row>
    <row r="523" spans="1:28" ht="72">
      <c r="A523" s="27">
        <v>66</v>
      </c>
      <c r="B523" s="27" t="str">
        <f>Source!E165</f>
        <v>62</v>
      </c>
      <c r="C523" s="28" t="str">
        <f>Source!F165</f>
        <v>65-33-1</v>
      </c>
      <c r="D523" s="25" t="str">
        <f>Source!G165</f>
        <v>Смена жалюзийных решеток</v>
      </c>
      <c r="E523" s="30" t="str">
        <f>Source!H165</f>
        <v>100 ЖАЛЮЗИЙНЫХ РЕШЕТОК</v>
      </c>
      <c r="F523" s="10">
        <f>Source!I165</f>
        <v>0.01</v>
      </c>
      <c r="G523" s="32">
        <f>IF(Source!AK165&lt;&gt; 0, Source!AK165,Source!AL165 + Source!AM165 + Source!AO165)</f>
        <v>3230</v>
      </c>
      <c r="H523" s="31"/>
      <c r="I523" s="33"/>
      <c r="J523" s="31" t="str">
        <f>Source!BO165</f>
        <v>65-33-1</v>
      </c>
      <c r="K523" s="31"/>
      <c r="L523" s="33"/>
      <c r="M523" s="34"/>
      <c r="S523">
        <f>ROUND((Source!FX165/100)*((ROUND(Source!AF165*Source!I165, 0)+ROUND(Source!AE165*Source!I165, 0))), 0)</f>
        <v>3</v>
      </c>
      <c r="T523">
        <f>Source!X165</f>
        <v>55</v>
      </c>
      <c r="U523">
        <f>ROUND((Source!FY165/100)*((ROUND(Source!AF165*Source!I165, 0)+ROUND(Source!AE165*Source!I165, 0))), 0)</f>
        <v>2</v>
      </c>
      <c r="V523">
        <f>Source!Y165</f>
        <v>42</v>
      </c>
    </row>
    <row r="524" spans="1:28">
      <c r="D524" s="49" t="str">
        <f>"Объем: "&amp;Source!I165&amp;"=1/"&amp;"100"</f>
        <v>Объем: 0,01=1/100</v>
      </c>
    </row>
    <row r="525" spans="1:28" ht="14.4">
      <c r="A525" s="27"/>
      <c r="B525" s="27"/>
      <c r="C525" s="28"/>
      <c r="D525" s="25" t="s">
        <v>962</v>
      </c>
      <c r="E525" s="30"/>
      <c r="F525" s="10"/>
      <c r="G525" s="32">
        <f>Source!AO165</f>
        <v>368.13</v>
      </c>
      <c r="H525" s="31" t="str">
        <f>Source!DG165</f>
        <v/>
      </c>
      <c r="I525" s="33">
        <f>ROUND(Source!AF165*Source!I165, 0)</f>
        <v>4</v>
      </c>
      <c r="J525" s="31"/>
      <c r="K525" s="31">
        <f>IF(Source!BA165&lt;&gt; 0, Source!BA165, 1)</f>
        <v>20.88</v>
      </c>
      <c r="L525" s="33">
        <f>Source!S165</f>
        <v>77</v>
      </c>
      <c r="M525" s="34"/>
      <c r="R525">
        <f>I525</f>
        <v>4</v>
      </c>
    </row>
    <row r="526" spans="1:28" ht="14.4">
      <c r="A526" s="27"/>
      <c r="B526" s="27"/>
      <c r="C526" s="28"/>
      <c r="D526" s="25" t="s">
        <v>969</v>
      </c>
      <c r="E526" s="30"/>
      <c r="F526" s="10"/>
      <c r="G526" s="32">
        <f>Source!AL165</f>
        <v>2861.55</v>
      </c>
      <c r="H526" s="31" t="str">
        <f>Source!DD165</f>
        <v/>
      </c>
      <c r="I526" s="33">
        <f>ROUND(Source!AC165*Source!I165, 0)</f>
        <v>29</v>
      </c>
      <c r="J526" s="31"/>
      <c r="K526" s="31">
        <f>IF(Source!BC165&lt;&gt; 0, Source!BC165, 1)</f>
        <v>5.38</v>
      </c>
      <c r="L526" s="33">
        <f>Source!P165</f>
        <v>154</v>
      </c>
      <c r="M526" s="34"/>
    </row>
    <row r="527" spans="1:28" ht="14.4">
      <c r="A527" s="27"/>
      <c r="B527" s="27"/>
      <c r="C527" s="28"/>
      <c r="D527" s="25" t="s">
        <v>964</v>
      </c>
      <c r="E527" s="30" t="s">
        <v>965</v>
      </c>
      <c r="F527" s="10">
        <f>Source!BZ165</f>
        <v>103</v>
      </c>
      <c r="G527" s="92" t="str">
        <f>CONCATENATE(" )", Source!DL165, Source!FT165, "=", Source!FX165)</f>
        <v xml:space="preserve"> )*0,7=72,1</v>
      </c>
      <c r="H527" s="90"/>
      <c r="I527" s="33">
        <f>SUM(S523:S529)</f>
        <v>3</v>
      </c>
      <c r="J527" s="35"/>
      <c r="K527" s="25">
        <f>Source!AT165</f>
        <v>72</v>
      </c>
      <c r="L527" s="33">
        <f>SUM(T523:T529)</f>
        <v>55</v>
      </c>
      <c r="M527" s="34"/>
    </row>
    <row r="528" spans="1:28" ht="14.4">
      <c r="A528" s="27"/>
      <c r="B528" s="27"/>
      <c r="C528" s="28"/>
      <c r="D528" s="25" t="s">
        <v>966</v>
      </c>
      <c r="E528" s="30" t="s">
        <v>965</v>
      </c>
      <c r="F528" s="10">
        <f>Source!CA165</f>
        <v>60</v>
      </c>
      <c r="G528" s="92" t="str">
        <f>CONCATENATE(" )", Source!DM165, Source!FU165, "=", Source!FY165)</f>
        <v xml:space="preserve"> )*0,9=54</v>
      </c>
      <c r="H528" s="90"/>
      <c r="I528" s="33">
        <f>SUM(U523:U529)</f>
        <v>2</v>
      </c>
      <c r="J528" s="35"/>
      <c r="K528" s="25">
        <f>Source!AU165</f>
        <v>54</v>
      </c>
      <c r="L528" s="33">
        <f>SUM(V523:V529)</f>
        <v>42</v>
      </c>
      <c r="M528" s="34"/>
    </row>
    <row r="529" spans="1:26" ht="14.4">
      <c r="A529" s="39"/>
      <c r="B529" s="39"/>
      <c r="C529" s="40"/>
      <c r="D529" s="41" t="s">
        <v>967</v>
      </c>
      <c r="E529" s="42" t="s">
        <v>968</v>
      </c>
      <c r="F529" s="43">
        <f>Source!AQ165</f>
        <v>46.19</v>
      </c>
      <c r="G529" s="44"/>
      <c r="H529" s="45" t="str">
        <f>Source!DI165</f>
        <v/>
      </c>
      <c r="I529" s="46"/>
      <c r="J529" s="45"/>
      <c r="K529" s="45"/>
      <c r="L529" s="46"/>
      <c r="M529" s="47">
        <f>Source!U165</f>
        <v>0.46189999999999998</v>
      </c>
    </row>
    <row r="530" spans="1:26" ht="13.8">
      <c r="H530" s="93">
        <f>ROUND(Source!AC165*Source!I165, 0)+ROUND(Source!AF165*Source!I165, 0)+ROUND(Source!AD165*Source!I165, 0)+SUM(I527:I528)</f>
        <v>38</v>
      </c>
      <c r="I530" s="93"/>
      <c r="K530" s="93">
        <f>Source!O165+SUM(L527:L528)</f>
        <v>328</v>
      </c>
      <c r="L530" s="93"/>
      <c r="M530" s="38">
        <f>Source!U165</f>
        <v>0.46189999999999998</v>
      </c>
      <c r="O530" s="37">
        <f>H530</f>
        <v>38</v>
      </c>
      <c r="P530" s="37">
        <f>K530</f>
        <v>328</v>
      </c>
      <c r="Q530" s="48">
        <f>M530</f>
        <v>0.46189999999999998</v>
      </c>
      <c r="W530">
        <f>IF(Source!BI165&lt;=1,H530, 0)</f>
        <v>38</v>
      </c>
      <c r="X530">
        <f>IF(Source!BI165=2,H530, 0)</f>
        <v>0</v>
      </c>
      <c r="Y530">
        <f>IF(Source!BI165=3,H530, 0)</f>
        <v>0</v>
      </c>
      <c r="Z530">
        <f>IF(Source!BI165=4,H530, 0)</f>
        <v>0</v>
      </c>
    </row>
    <row r="531" spans="1:26" ht="72">
      <c r="A531" s="27">
        <v>67</v>
      </c>
      <c r="B531" s="27" t="str">
        <f>Source!E166</f>
        <v>63</v>
      </c>
      <c r="C531" s="28" t="str">
        <f>Source!F166</f>
        <v>15-04-025-4</v>
      </c>
      <c r="D531" s="25" t="str">
        <f>Source!G166</f>
        <v>Улучшенная окраска масляными составами по дереву заполнений дверных проемов</v>
      </c>
      <c r="E531" s="30" t="str">
        <f>Source!H166</f>
        <v>100 м2 окрашиваемой поверхности</v>
      </c>
      <c r="F531" s="10">
        <f>Source!I166</f>
        <v>0.04</v>
      </c>
      <c r="G531" s="32">
        <f>IF(Source!AK166&lt;&gt; 0, Source!AK166,Source!AL166 + Source!AM166 + Source!AO166)</f>
        <v>1471.41</v>
      </c>
      <c r="H531" s="31"/>
      <c r="I531" s="33"/>
      <c r="J531" s="31" t="str">
        <f>Source!BO166</f>
        <v>15-04-025-4</v>
      </c>
      <c r="K531" s="31"/>
      <c r="L531" s="33"/>
      <c r="M531" s="34"/>
      <c r="S531">
        <f>ROUND((Source!FX166/100)*((ROUND(Source!AF166*Source!I166, 0)+ROUND(Source!AE166*Source!I166, 0))), 0)</f>
        <v>24</v>
      </c>
      <c r="T531">
        <f>Source!X166</f>
        <v>498</v>
      </c>
      <c r="U531">
        <f>ROUND((Source!FY166/100)*((ROUND(Source!AF166*Source!I166, 0)+ROUND(Source!AE166*Source!I166, 0))), 0)</f>
        <v>15</v>
      </c>
      <c r="V531">
        <f>Source!Y166</f>
        <v>317</v>
      </c>
    </row>
    <row r="532" spans="1:26">
      <c r="D532" s="49" t="str">
        <f>"Объем: "&amp;Source!I166&amp;"=4/"&amp;"100"</f>
        <v>Объем: 0,04=4/100</v>
      </c>
    </row>
    <row r="533" spans="1:26" ht="14.4">
      <c r="A533" s="27"/>
      <c r="B533" s="27"/>
      <c r="C533" s="28"/>
      <c r="D533" s="25" t="s">
        <v>962</v>
      </c>
      <c r="E533" s="30"/>
      <c r="F533" s="10"/>
      <c r="G533" s="32">
        <f>Source!AO166</f>
        <v>786.35</v>
      </c>
      <c r="H533" s="31" t="str">
        <f>Source!DG166</f>
        <v>)*1,15</v>
      </c>
      <c r="I533" s="33">
        <f>ROUND(Source!AF166*Source!I166, 0)</f>
        <v>36</v>
      </c>
      <c r="J533" s="31"/>
      <c r="K533" s="31">
        <f>IF(Source!BA166&lt;&gt; 0, Source!BA166, 1)</f>
        <v>20.88</v>
      </c>
      <c r="L533" s="33">
        <f>Source!S166</f>
        <v>755</v>
      </c>
      <c r="M533" s="34"/>
      <c r="R533">
        <f>I533</f>
        <v>36</v>
      </c>
    </row>
    <row r="534" spans="1:26" ht="14.4">
      <c r="A534" s="27"/>
      <c r="B534" s="27"/>
      <c r="C534" s="28"/>
      <c r="D534" s="25" t="s">
        <v>125</v>
      </c>
      <c r="E534" s="30"/>
      <c r="F534" s="10"/>
      <c r="G534" s="32">
        <f>Source!AM166</f>
        <v>8.58</v>
      </c>
      <c r="H534" s="31" t="str">
        <f>Source!DE166</f>
        <v>)*1,25</v>
      </c>
      <c r="I534" s="33">
        <f>ROUND(Source!AD166*Source!I166, 0)</f>
        <v>0</v>
      </c>
      <c r="J534" s="31"/>
      <c r="K534" s="31">
        <f>IF(Source!BB166&lt;&gt; 0, Source!BB166, 1)</f>
        <v>9.23</v>
      </c>
      <c r="L534" s="33">
        <f>Source!Q166</f>
        <v>4</v>
      </c>
      <c r="M534" s="34"/>
    </row>
    <row r="535" spans="1:26" ht="14.4">
      <c r="A535" s="27"/>
      <c r="B535" s="27"/>
      <c r="C535" s="28"/>
      <c r="D535" s="25" t="s">
        <v>969</v>
      </c>
      <c r="E535" s="30"/>
      <c r="F535" s="10"/>
      <c r="G535" s="32">
        <f>Source!AL166</f>
        <v>676.48</v>
      </c>
      <c r="H535" s="31" t="str">
        <f>Source!DD166</f>
        <v/>
      </c>
      <c r="I535" s="33">
        <f>ROUND(Source!AC166*Source!I166, 0)</f>
        <v>27</v>
      </c>
      <c r="J535" s="31"/>
      <c r="K535" s="31">
        <f>IF(Source!BC166&lt;&gt; 0, Source!BC166, 1)</f>
        <v>3.69</v>
      </c>
      <c r="L535" s="33">
        <f>Source!P166</f>
        <v>100</v>
      </c>
      <c r="M535" s="34"/>
    </row>
    <row r="536" spans="1:26" ht="14.4">
      <c r="A536" s="27"/>
      <c r="B536" s="27"/>
      <c r="C536" s="28"/>
      <c r="D536" s="25" t="s">
        <v>964</v>
      </c>
      <c r="E536" s="30" t="s">
        <v>965</v>
      </c>
      <c r="F536" s="10">
        <f>Source!BZ166</f>
        <v>105</v>
      </c>
      <c r="G536" s="92" t="str">
        <f>CONCATENATE(" )", Source!DL166, Source!FT166, "=", Source!FX166)</f>
        <v xml:space="preserve"> )*0,9*0,7=66,15</v>
      </c>
      <c r="H536" s="90"/>
      <c r="I536" s="33">
        <f>SUM(S531:S538)</f>
        <v>24</v>
      </c>
      <c r="J536" s="35"/>
      <c r="K536" s="25">
        <f>Source!AT166</f>
        <v>66</v>
      </c>
      <c r="L536" s="33">
        <f>SUM(T531:T538)</f>
        <v>498</v>
      </c>
      <c r="M536" s="34"/>
    </row>
    <row r="537" spans="1:26" ht="14.4">
      <c r="A537" s="27"/>
      <c r="B537" s="27"/>
      <c r="C537" s="28"/>
      <c r="D537" s="25" t="s">
        <v>966</v>
      </c>
      <c r="E537" s="30" t="s">
        <v>965</v>
      </c>
      <c r="F537" s="10">
        <f>Source!CA166</f>
        <v>55</v>
      </c>
      <c r="G537" s="92" t="str">
        <f>CONCATENATE(" )", Source!DM166, Source!FU166, "=", Source!FY166)</f>
        <v xml:space="preserve"> )*0,85*0,9=42,075</v>
      </c>
      <c r="H537" s="90"/>
      <c r="I537" s="33">
        <f>SUM(U531:U538)</f>
        <v>15</v>
      </c>
      <c r="J537" s="35"/>
      <c r="K537" s="25">
        <f>Source!AU166</f>
        <v>42</v>
      </c>
      <c r="L537" s="33">
        <f>SUM(V531:V538)</f>
        <v>317</v>
      </c>
      <c r="M537" s="34"/>
    </row>
    <row r="538" spans="1:26" ht="14.4">
      <c r="A538" s="39"/>
      <c r="B538" s="39"/>
      <c r="C538" s="40"/>
      <c r="D538" s="41" t="s">
        <v>967</v>
      </c>
      <c r="E538" s="42" t="s">
        <v>968</v>
      </c>
      <c r="F538" s="43">
        <f>Source!AQ166</f>
        <v>92.73</v>
      </c>
      <c r="G538" s="44"/>
      <c r="H538" s="45" t="str">
        <f>Source!DI166</f>
        <v>)*1,15</v>
      </c>
      <c r="I538" s="46"/>
      <c r="J538" s="45"/>
      <c r="K538" s="45"/>
      <c r="L538" s="46"/>
      <c r="M538" s="47">
        <f>Source!U166</f>
        <v>4.2655799999999999</v>
      </c>
    </row>
    <row r="539" spans="1:26" ht="13.8">
      <c r="H539" s="93">
        <f>ROUND(Source!AC166*Source!I166, 0)+ROUND(Source!AF166*Source!I166, 0)+ROUND(Source!AD166*Source!I166, 0)+SUM(I536:I537)</f>
        <v>102</v>
      </c>
      <c r="I539" s="93"/>
      <c r="K539" s="93">
        <f>Source!O166+SUM(L536:L537)</f>
        <v>1674</v>
      </c>
      <c r="L539" s="93"/>
      <c r="M539" s="38">
        <f>Source!U166</f>
        <v>4.2655799999999999</v>
      </c>
      <c r="O539" s="37">
        <f>H539</f>
        <v>102</v>
      </c>
      <c r="P539" s="37">
        <f>K539</f>
        <v>1674</v>
      </c>
      <c r="Q539" s="48">
        <f>M539</f>
        <v>4.2655799999999999</v>
      </c>
      <c r="W539">
        <f>IF(Source!BI166&lt;=1,H539, 0)</f>
        <v>102</v>
      </c>
      <c r="X539">
        <f>IF(Source!BI166=2,H539, 0)</f>
        <v>0</v>
      </c>
      <c r="Y539">
        <f>IF(Source!BI166=3,H539, 0)</f>
        <v>0</v>
      </c>
      <c r="Z539">
        <f>IF(Source!BI166=4,H539, 0)</f>
        <v>0</v>
      </c>
    </row>
    <row r="540" spans="1:26" ht="28.8">
      <c r="A540" s="27">
        <v>68</v>
      </c>
      <c r="B540" s="27" t="str">
        <f>Source!E167</f>
        <v>64</v>
      </c>
      <c r="C540" s="28" t="str">
        <f>Source!F167</f>
        <v>65-4-1</v>
      </c>
      <c r="D540" s="25" t="str">
        <f>Source!G167</f>
        <v>Демонтаж умывальников и раковин</v>
      </c>
      <c r="E540" s="30" t="str">
        <f>Source!H167</f>
        <v>100 приборов</v>
      </c>
      <c r="F540" s="10">
        <f>Source!I167</f>
        <v>0.01</v>
      </c>
      <c r="G540" s="32">
        <f>IF(Source!AK167&lt;&gt; 0, Source!AK167,Source!AL167 + Source!AM167 + Source!AO167)</f>
        <v>417.2</v>
      </c>
      <c r="H540" s="31"/>
      <c r="I540" s="33"/>
      <c r="J540" s="31" t="str">
        <f>Source!BO167</f>
        <v>65-4-1</v>
      </c>
      <c r="K540" s="31"/>
      <c r="L540" s="33"/>
      <c r="M540" s="34"/>
      <c r="S540">
        <f>ROUND((Source!FX167/100)*((ROUND(Source!AF167*Source!I167, 0)+ROUND(Source!AE167*Source!I167, 0))), 0)</f>
        <v>2</v>
      </c>
      <c r="T540">
        <f>Source!X167</f>
        <v>45</v>
      </c>
      <c r="U540">
        <f>ROUND((Source!FY167/100)*((ROUND(Source!AF167*Source!I167, 0)+ROUND(Source!AE167*Source!I167, 0))), 0)</f>
        <v>2</v>
      </c>
      <c r="V540">
        <f>Source!Y167</f>
        <v>39</v>
      </c>
    </row>
    <row r="541" spans="1:26">
      <c r="D541" s="49" t="str">
        <f>"Объем: "&amp;Source!I167&amp;"=1/"&amp;"100"</f>
        <v>Объем: 0,01=1/100</v>
      </c>
    </row>
    <row r="542" spans="1:26" ht="14.4">
      <c r="A542" s="27"/>
      <c r="B542" s="27"/>
      <c r="C542" s="28"/>
      <c r="D542" s="25" t="s">
        <v>962</v>
      </c>
      <c r="E542" s="30"/>
      <c r="F542" s="10"/>
      <c r="G542" s="32">
        <f>Source!AO167</f>
        <v>408.86</v>
      </c>
      <c r="H542" s="31" t="str">
        <f>Source!DG167</f>
        <v/>
      </c>
      <c r="I542" s="33">
        <f>ROUND(Source!AF167*Source!I167, 0)</f>
        <v>4</v>
      </c>
      <c r="J542" s="31"/>
      <c r="K542" s="31">
        <f>IF(Source!BA167&lt;&gt; 0, Source!BA167, 1)</f>
        <v>20.88</v>
      </c>
      <c r="L542" s="33">
        <f>Source!S167</f>
        <v>85</v>
      </c>
      <c r="M542" s="34"/>
      <c r="R542">
        <f>I542</f>
        <v>4</v>
      </c>
    </row>
    <row r="543" spans="1:26" ht="14.4">
      <c r="A543" s="27"/>
      <c r="B543" s="27"/>
      <c r="C543" s="28"/>
      <c r="D543" s="25" t="s">
        <v>125</v>
      </c>
      <c r="E543" s="30"/>
      <c r="F543" s="10"/>
      <c r="G543" s="32">
        <f>Source!AM167</f>
        <v>8.34</v>
      </c>
      <c r="H543" s="31" t="str">
        <f>Source!DE167</f>
        <v/>
      </c>
      <c r="I543" s="33">
        <f>ROUND(Source!AD167*Source!I167, 0)</f>
        <v>0</v>
      </c>
      <c r="J543" s="31"/>
      <c r="K543" s="31">
        <f>IF(Source!BB167&lt;&gt; 0, Source!BB167, 1)</f>
        <v>10.220000000000001</v>
      </c>
      <c r="L543" s="33">
        <f>Source!Q167</f>
        <v>1</v>
      </c>
      <c r="M543" s="34"/>
    </row>
    <row r="544" spans="1:26" ht="14.4">
      <c r="A544" s="27"/>
      <c r="B544" s="27"/>
      <c r="C544" s="28"/>
      <c r="D544" s="25" t="s">
        <v>963</v>
      </c>
      <c r="E544" s="30"/>
      <c r="F544" s="10"/>
      <c r="G544" s="32">
        <f>Source!AN167</f>
        <v>3.15</v>
      </c>
      <c r="H544" s="31" t="str">
        <f>Source!DF167</f>
        <v/>
      </c>
      <c r="I544" s="33">
        <f>ROUND(Source!AE167*Source!I167, 0)</f>
        <v>0</v>
      </c>
      <c r="J544" s="31"/>
      <c r="K544" s="31">
        <f>IF(Source!BS167&lt;&gt; 0, Source!BS167, 1)</f>
        <v>20.88</v>
      </c>
      <c r="L544" s="33">
        <f>Source!R167</f>
        <v>1</v>
      </c>
      <c r="M544" s="34"/>
      <c r="R544">
        <f>I544</f>
        <v>0</v>
      </c>
    </row>
    <row r="545" spans="1:26" ht="14.4">
      <c r="A545" s="27"/>
      <c r="B545" s="27"/>
      <c r="C545" s="28"/>
      <c r="D545" s="25" t="s">
        <v>964</v>
      </c>
      <c r="E545" s="30" t="s">
        <v>965</v>
      </c>
      <c r="F545" s="10">
        <f>Source!BZ167</f>
        <v>74</v>
      </c>
      <c r="G545" s="92" t="str">
        <f>CONCATENATE(" )", Source!DL167, Source!FT167, "=", Source!FX167)</f>
        <v xml:space="preserve"> )*0,7=51,8</v>
      </c>
      <c r="H545" s="90"/>
      <c r="I545" s="33">
        <f>SUM(S540:S547)</f>
        <v>2</v>
      </c>
      <c r="J545" s="35"/>
      <c r="K545" s="25">
        <f>Source!AT167</f>
        <v>52</v>
      </c>
      <c r="L545" s="33">
        <f>SUM(T540:T547)</f>
        <v>45</v>
      </c>
      <c r="M545" s="34"/>
    </row>
    <row r="546" spans="1:26" ht="14.4">
      <c r="A546" s="27"/>
      <c r="B546" s="27"/>
      <c r="C546" s="28"/>
      <c r="D546" s="25" t="s">
        <v>966</v>
      </c>
      <c r="E546" s="30" t="s">
        <v>965</v>
      </c>
      <c r="F546" s="10">
        <f>Source!CA167</f>
        <v>50</v>
      </c>
      <c r="G546" s="92" t="str">
        <f>CONCATENATE(" )", Source!DM167, Source!FU167, "=", Source!FY167)</f>
        <v xml:space="preserve"> )*0,9=45</v>
      </c>
      <c r="H546" s="90"/>
      <c r="I546" s="33">
        <f>SUM(U540:U547)</f>
        <v>2</v>
      </c>
      <c r="J546" s="35"/>
      <c r="K546" s="25">
        <f>Source!AU167</f>
        <v>45</v>
      </c>
      <c r="L546" s="33">
        <f>SUM(V540:V547)</f>
        <v>39</v>
      </c>
      <c r="M546" s="34"/>
    </row>
    <row r="547" spans="1:26" ht="14.4">
      <c r="A547" s="39"/>
      <c r="B547" s="39"/>
      <c r="C547" s="40"/>
      <c r="D547" s="41" t="s">
        <v>967</v>
      </c>
      <c r="E547" s="42" t="s">
        <v>968</v>
      </c>
      <c r="F547" s="43">
        <f>Source!AQ167</f>
        <v>51.3</v>
      </c>
      <c r="G547" s="44"/>
      <c r="H547" s="45" t="str">
        <f>Source!DI167</f>
        <v/>
      </c>
      <c r="I547" s="46"/>
      <c r="J547" s="45"/>
      <c r="K547" s="45"/>
      <c r="L547" s="46"/>
      <c r="M547" s="47">
        <f>Source!U167</f>
        <v>0.51300000000000001</v>
      </c>
    </row>
    <row r="548" spans="1:26" ht="13.8">
      <c r="H548" s="93">
        <f>ROUND(Source!AC167*Source!I167, 0)+ROUND(Source!AF167*Source!I167, 0)+ROUND(Source!AD167*Source!I167, 0)+SUM(I545:I546)</f>
        <v>8</v>
      </c>
      <c r="I548" s="93"/>
      <c r="K548" s="93">
        <f>Source!O167+SUM(L545:L546)</f>
        <v>170</v>
      </c>
      <c r="L548" s="93"/>
      <c r="M548" s="38">
        <f>Source!U167</f>
        <v>0.51300000000000001</v>
      </c>
      <c r="O548" s="37">
        <f>H548</f>
        <v>8</v>
      </c>
      <c r="P548" s="37">
        <f>K548</f>
        <v>170</v>
      </c>
      <c r="Q548" s="48">
        <f>M548</f>
        <v>0.51300000000000001</v>
      </c>
      <c r="W548">
        <f>IF(Source!BI167&lt;=1,H548, 0)</f>
        <v>8</v>
      </c>
      <c r="X548">
        <f>IF(Source!BI167=2,H548, 0)</f>
        <v>0</v>
      </c>
      <c r="Y548">
        <f>IF(Source!BI167=3,H548, 0)</f>
        <v>0</v>
      </c>
      <c r="Z548">
        <f>IF(Source!BI167=4,H548, 0)</f>
        <v>0</v>
      </c>
    </row>
    <row r="549" spans="1:26" ht="28.2">
      <c r="A549" s="27">
        <v>69</v>
      </c>
      <c r="B549" s="27" t="str">
        <f>Source!E168</f>
        <v>65</v>
      </c>
      <c r="C549" s="28" t="str">
        <f>Source!F168</f>
        <v>17-01-001-14</v>
      </c>
      <c r="D549" s="25" t="str">
        <f>Source!G168</f>
        <v>Установка умывальников одиночных с подводкой холодной и горячей воды</v>
      </c>
      <c r="E549" s="30" t="str">
        <f>Source!H168</f>
        <v>10 компл.</v>
      </c>
      <c r="F549" s="10">
        <f>Source!I168</f>
        <v>0.1</v>
      </c>
      <c r="G549" s="32">
        <f>IF(Source!AK168&lt;&gt; 0, Source!AK168,Source!AL168 + Source!AM168 + Source!AO168)</f>
        <v>2676.2</v>
      </c>
      <c r="H549" s="31"/>
      <c r="I549" s="33"/>
      <c r="J549" s="31" t="str">
        <f>Source!BO168</f>
        <v>17-01-001-14</v>
      </c>
      <c r="K549" s="31"/>
      <c r="L549" s="33"/>
      <c r="M549" s="34"/>
      <c r="S549">
        <f>ROUND((Source!FX168/100)*((ROUND(Source!AF168*Source!I168, 0)+ROUND(Source!AE168*Source!I168, 0))), 0)</f>
        <v>18</v>
      </c>
      <c r="T549">
        <f>Source!X168</f>
        <v>382</v>
      </c>
      <c r="U549">
        <f>ROUND((Source!FY168/100)*((ROUND(Source!AF168*Source!I168, 0)+ROUND(Source!AE168*Source!I168, 0))), 0)</f>
        <v>14</v>
      </c>
      <c r="V549">
        <f>Source!Y168</f>
        <v>297</v>
      </c>
    </row>
    <row r="550" spans="1:26">
      <c r="D550" s="49" t="str">
        <f>"Объем: "&amp;Source!I168&amp;"=1/"&amp;"10"</f>
        <v>Объем: 0,1=1/10</v>
      </c>
    </row>
    <row r="551" spans="1:26" ht="14.4">
      <c r="A551" s="27"/>
      <c r="B551" s="27"/>
      <c r="C551" s="28"/>
      <c r="D551" s="25" t="s">
        <v>962</v>
      </c>
      <c r="E551" s="30"/>
      <c r="F551" s="10"/>
      <c r="G551" s="32">
        <f>Source!AO168</f>
        <v>194.63</v>
      </c>
      <c r="H551" s="31" t="str">
        <f>Source!DG168</f>
        <v>)*1,15</v>
      </c>
      <c r="I551" s="33">
        <f>ROUND(Source!AF168*Source!I168, 0)</f>
        <v>22</v>
      </c>
      <c r="J551" s="31"/>
      <c r="K551" s="31">
        <f>IF(Source!BA168&lt;&gt; 0, Source!BA168, 1)</f>
        <v>20.88</v>
      </c>
      <c r="L551" s="33">
        <f>Source!S168</f>
        <v>467</v>
      </c>
      <c r="M551" s="34"/>
      <c r="R551">
        <f>I551</f>
        <v>22</v>
      </c>
    </row>
    <row r="552" spans="1:26" ht="14.4">
      <c r="A552" s="27"/>
      <c r="B552" s="27"/>
      <c r="C552" s="28"/>
      <c r="D552" s="25" t="s">
        <v>125</v>
      </c>
      <c r="E552" s="30"/>
      <c r="F552" s="10"/>
      <c r="G552" s="32">
        <f>Source!AM168</f>
        <v>24.79</v>
      </c>
      <c r="H552" s="31" t="str">
        <f>Source!DE168</f>
        <v>)*1,25</v>
      </c>
      <c r="I552" s="33">
        <f>ROUND(Source!AD168*Source!I168, 0)</f>
        <v>3</v>
      </c>
      <c r="J552" s="31"/>
      <c r="K552" s="31">
        <f>IF(Source!BB168&lt;&gt; 0, Source!BB168, 1)</f>
        <v>9.2899999999999991</v>
      </c>
      <c r="L552" s="33">
        <f>Source!Q168</f>
        <v>29</v>
      </c>
      <c r="M552" s="34"/>
    </row>
    <row r="553" spans="1:26" ht="14.4">
      <c r="A553" s="27"/>
      <c r="B553" s="27"/>
      <c r="C553" s="28"/>
      <c r="D553" s="25" t="s">
        <v>963</v>
      </c>
      <c r="E553" s="30"/>
      <c r="F553" s="10"/>
      <c r="G553" s="32">
        <f>Source!AN168</f>
        <v>1.57</v>
      </c>
      <c r="H553" s="31" t="str">
        <f>Source!DF168</f>
        <v>)*1,25</v>
      </c>
      <c r="I553" s="33">
        <f>ROUND(Source!AE168*Source!I168, 0)</f>
        <v>0</v>
      </c>
      <c r="J553" s="31"/>
      <c r="K553" s="31">
        <f>IF(Source!BS168&lt;&gt; 0, Source!BS168, 1)</f>
        <v>20.88</v>
      </c>
      <c r="L553" s="33">
        <f>Source!R168</f>
        <v>4</v>
      </c>
      <c r="M553" s="34"/>
      <c r="R553">
        <f>I553</f>
        <v>0</v>
      </c>
    </row>
    <row r="554" spans="1:26" ht="14.4">
      <c r="A554" s="27"/>
      <c r="B554" s="27"/>
      <c r="C554" s="28"/>
      <c r="D554" s="25" t="s">
        <v>964</v>
      </c>
      <c r="E554" s="30" t="s">
        <v>965</v>
      </c>
      <c r="F554" s="10">
        <f>Source!BZ168</f>
        <v>128</v>
      </c>
      <c r="G554" s="92" t="str">
        <f>CONCATENATE(" )", Source!DL168, Source!FT168, "=", Source!FX168)</f>
        <v xml:space="preserve"> )*0,9*0,7=80,64</v>
      </c>
      <c r="H554" s="90"/>
      <c r="I554" s="33">
        <f>SUM(S549:S556)</f>
        <v>18</v>
      </c>
      <c r="J554" s="35"/>
      <c r="K554" s="25">
        <f>Source!AT168</f>
        <v>81</v>
      </c>
      <c r="L554" s="33">
        <f>SUM(T549:T556)</f>
        <v>382</v>
      </c>
      <c r="M554" s="34"/>
    </row>
    <row r="555" spans="1:26" ht="14.4">
      <c r="A555" s="27"/>
      <c r="B555" s="27"/>
      <c r="C555" s="28"/>
      <c r="D555" s="25" t="s">
        <v>966</v>
      </c>
      <c r="E555" s="30" t="s">
        <v>965</v>
      </c>
      <c r="F555" s="10">
        <f>Source!CA168</f>
        <v>83</v>
      </c>
      <c r="G555" s="92" t="str">
        <f>CONCATENATE(" )", Source!DM168, Source!FU168, "=", Source!FY168)</f>
        <v xml:space="preserve"> )*0,85*0,9=63,495</v>
      </c>
      <c r="H555" s="90"/>
      <c r="I555" s="33">
        <f>SUM(U549:U556)</f>
        <v>14</v>
      </c>
      <c r="J555" s="35"/>
      <c r="K555" s="25">
        <f>Source!AU168</f>
        <v>63</v>
      </c>
      <c r="L555" s="33">
        <f>SUM(V549:V556)</f>
        <v>297</v>
      </c>
      <c r="M555" s="34"/>
    </row>
    <row r="556" spans="1:26" ht="14.4">
      <c r="A556" s="39"/>
      <c r="B556" s="39"/>
      <c r="C556" s="40"/>
      <c r="D556" s="41" t="s">
        <v>967</v>
      </c>
      <c r="E556" s="42" t="s">
        <v>968</v>
      </c>
      <c r="F556" s="43">
        <f>Source!AQ168</f>
        <v>21.65</v>
      </c>
      <c r="G556" s="44"/>
      <c r="H556" s="45" t="str">
        <f>Source!DI168</f>
        <v>)*1,15</v>
      </c>
      <c r="I556" s="46"/>
      <c r="J556" s="45"/>
      <c r="K556" s="45"/>
      <c r="L556" s="46"/>
      <c r="M556" s="47">
        <f>Source!U168</f>
        <v>2.4897499999999999</v>
      </c>
    </row>
    <row r="557" spans="1:26" ht="13.8">
      <c r="H557" s="93">
        <f>ROUND(Source!AC168*Source!I168, 0)+ROUND(Source!AF168*Source!I168, 0)+ROUND(Source!AD168*Source!I168, 0)+SUM(I554:I555)</f>
        <v>57</v>
      </c>
      <c r="I557" s="93"/>
      <c r="K557" s="93">
        <f>Source!O168+SUM(L554:L555)</f>
        <v>1175</v>
      </c>
      <c r="L557" s="93"/>
      <c r="M557" s="38">
        <f>Source!U168</f>
        <v>2.4897499999999999</v>
      </c>
      <c r="O557" s="37">
        <f>H557</f>
        <v>57</v>
      </c>
      <c r="P557" s="37">
        <f>K557</f>
        <v>1175</v>
      </c>
      <c r="Q557" s="48">
        <f>M557</f>
        <v>2.4897499999999999</v>
      </c>
      <c r="W557">
        <f>IF(Source!BI168&lt;=1,H557, 0)</f>
        <v>57</v>
      </c>
      <c r="X557">
        <f>IF(Source!BI168=2,H557, 0)</f>
        <v>0</v>
      </c>
      <c r="Y557">
        <f>IF(Source!BI168=3,H557, 0)</f>
        <v>0</v>
      </c>
      <c r="Z557">
        <f>IF(Source!BI168=4,H557, 0)</f>
        <v>0</v>
      </c>
    </row>
    <row r="558" spans="1:26" ht="28.8">
      <c r="A558" s="27">
        <v>70</v>
      </c>
      <c r="B558" s="27" t="str">
        <f>Source!E169</f>
        <v>66</v>
      </c>
      <c r="C558" s="28" t="str">
        <f>Source!F169</f>
        <v>09-04-013-2</v>
      </c>
      <c r="D558" s="25" t="str">
        <f>Source!G169</f>
        <v>Установка противопожарных дверей двупольных глухих</v>
      </c>
      <c r="E558" s="30" t="str">
        <f>Source!H169</f>
        <v>1 м2 проема</v>
      </c>
      <c r="F558" s="10">
        <f>Source!I169</f>
        <v>2.67</v>
      </c>
      <c r="G558" s="32">
        <f>IF(Source!AK169&lt;&gt; 0, Source!AK169,Source!AL169 + Source!AM169 + Source!AO169)</f>
        <v>88.88</v>
      </c>
      <c r="H558" s="31"/>
      <c r="I558" s="33"/>
      <c r="J558" s="31" t="str">
        <f>Source!BO169</f>
        <v>09-04-013-2</v>
      </c>
      <c r="K558" s="31"/>
      <c r="L558" s="33"/>
      <c r="M558" s="34"/>
      <c r="S558">
        <f>ROUND((Source!FX169/100)*((ROUND(Source!AF169*Source!I169, 0)+ROUND(Source!AE169*Source!I169, 0))), 0)</f>
        <v>45</v>
      </c>
      <c r="T558">
        <f>Source!X169</f>
        <v>955</v>
      </c>
      <c r="U558">
        <f>ROUND((Source!FY169/100)*((ROUND(Source!AF169*Source!I169, 0)+ROUND(Source!AE169*Source!I169, 0))), 0)</f>
        <v>52</v>
      </c>
      <c r="V558">
        <f>Source!Y169</f>
        <v>1089</v>
      </c>
    </row>
    <row r="559" spans="1:26" ht="14.4">
      <c r="A559" s="27"/>
      <c r="B559" s="27"/>
      <c r="C559" s="28"/>
      <c r="D559" s="25" t="s">
        <v>962</v>
      </c>
      <c r="E559" s="30"/>
      <c r="F559" s="10"/>
      <c r="G559" s="32">
        <f>Source!AO169</f>
        <v>26.13</v>
      </c>
      <c r="H559" s="31" t="str">
        <f>Source!DG169</f>
        <v>)*1,15</v>
      </c>
      <c r="I559" s="33">
        <f>ROUND(Source!AF169*Source!I169, 0)</f>
        <v>80</v>
      </c>
      <c r="J559" s="31"/>
      <c r="K559" s="31">
        <f>IF(Source!BA169&lt;&gt; 0, Source!BA169, 1)</f>
        <v>20.88</v>
      </c>
      <c r="L559" s="33">
        <f>Source!S169</f>
        <v>1675</v>
      </c>
      <c r="M559" s="34"/>
      <c r="R559">
        <f>I559</f>
        <v>80</v>
      </c>
    </row>
    <row r="560" spans="1:26" ht="14.4">
      <c r="A560" s="27"/>
      <c r="B560" s="27"/>
      <c r="C560" s="28"/>
      <c r="D560" s="25" t="s">
        <v>125</v>
      </c>
      <c r="E560" s="30"/>
      <c r="F560" s="10"/>
      <c r="G560" s="32">
        <f>Source!AM169</f>
        <v>10.53</v>
      </c>
      <c r="H560" s="31" t="str">
        <f>Source!DE169</f>
        <v>)*1,25</v>
      </c>
      <c r="I560" s="33">
        <f>ROUND(Source!AD169*Source!I169, 0)</f>
        <v>35</v>
      </c>
      <c r="J560" s="31"/>
      <c r="K560" s="31">
        <f>IF(Source!BB169&lt;&gt; 0, Source!BB169, 1)</f>
        <v>6.28</v>
      </c>
      <c r="L560" s="33">
        <f>Source!Q169</f>
        <v>221</v>
      </c>
      <c r="M560" s="34"/>
    </row>
    <row r="561" spans="1:32" ht="14.4">
      <c r="A561" s="27"/>
      <c r="B561" s="27"/>
      <c r="C561" s="28"/>
      <c r="D561" s="25" t="s">
        <v>969</v>
      </c>
      <c r="E561" s="30"/>
      <c r="F561" s="10"/>
      <c r="G561" s="32">
        <f>Source!AL169</f>
        <v>52.22</v>
      </c>
      <c r="H561" s="31" t="str">
        <f>Source!DD169</f>
        <v/>
      </c>
      <c r="I561" s="33">
        <f>ROUND(Source!AC169*Source!I169, 0)</f>
        <v>139</v>
      </c>
      <c r="J561" s="31"/>
      <c r="K561" s="31">
        <f>IF(Source!BC169&lt;&gt; 0, Source!BC169, 1)</f>
        <v>5.84</v>
      </c>
      <c r="L561" s="33">
        <f>Source!P169</f>
        <v>814</v>
      </c>
      <c r="M561" s="34"/>
    </row>
    <row r="562" spans="1:32" ht="14.4">
      <c r="A562" s="27"/>
      <c r="B562" s="27"/>
      <c r="C562" s="28"/>
      <c r="D562" s="25" t="s">
        <v>964</v>
      </c>
      <c r="E562" s="30" t="s">
        <v>965</v>
      </c>
      <c r="F562" s="10">
        <f>Source!BZ169</f>
        <v>90</v>
      </c>
      <c r="G562" s="92" t="str">
        <f>CONCATENATE(" )", Source!DL169, Source!FT169, "=", Source!FX169)</f>
        <v xml:space="preserve"> )*0,9*0,7=56,7</v>
      </c>
      <c r="H562" s="90"/>
      <c r="I562" s="33">
        <f>SUM(S558:S564)</f>
        <v>45</v>
      </c>
      <c r="J562" s="35"/>
      <c r="K562" s="25">
        <f>Source!AT169</f>
        <v>57</v>
      </c>
      <c r="L562" s="33">
        <f>SUM(T558:T564)</f>
        <v>955</v>
      </c>
      <c r="M562" s="34"/>
    </row>
    <row r="563" spans="1:32" ht="14.4">
      <c r="A563" s="27"/>
      <c r="B563" s="27"/>
      <c r="C563" s="28"/>
      <c r="D563" s="25" t="s">
        <v>966</v>
      </c>
      <c r="E563" s="30" t="s">
        <v>965</v>
      </c>
      <c r="F563" s="10">
        <f>Source!CA169</f>
        <v>85</v>
      </c>
      <c r="G563" s="92" t="str">
        <f>CONCATENATE(" )", Source!DM169, Source!FU169, "=", Source!FY169)</f>
        <v xml:space="preserve"> )*0,85*0,9=65,025</v>
      </c>
      <c r="H563" s="90"/>
      <c r="I563" s="33">
        <f>SUM(U558:U564)</f>
        <v>52</v>
      </c>
      <c r="J563" s="35"/>
      <c r="K563" s="25">
        <f>Source!AU169</f>
        <v>65</v>
      </c>
      <c r="L563" s="33">
        <f>SUM(V558:V564)</f>
        <v>1089</v>
      </c>
      <c r="M563" s="34"/>
    </row>
    <row r="564" spans="1:32" ht="14.4">
      <c r="A564" s="39"/>
      <c r="B564" s="39"/>
      <c r="C564" s="40"/>
      <c r="D564" s="41" t="s">
        <v>967</v>
      </c>
      <c r="E564" s="42" t="s">
        <v>968</v>
      </c>
      <c r="F564" s="43">
        <f>Source!AQ169</f>
        <v>2.78</v>
      </c>
      <c r="G564" s="44"/>
      <c r="H564" s="45" t="str">
        <f>Source!DI169</f>
        <v>)*1,15</v>
      </c>
      <c r="I564" s="46"/>
      <c r="J564" s="45"/>
      <c r="K564" s="45"/>
      <c r="L564" s="46"/>
      <c r="M564" s="47">
        <f>Source!U169</f>
        <v>8.5359899999999982</v>
      </c>
    </row>
    <row r="565" spans="1:32" ht="13.8">
      <c r="H565" s="93">
        <f>ROUND(Source!AC169*Source!I169, 0)+ROUND(Source!AF169*Source!I169, 0)+ROUND(Source!AD169*Source!I169, 0)+SUM(I562:I563)</f>
        <v>351</v>
      </c>
      <c r="I565" s="93"/>
      <c r="K565" s="93">
        <f>Source!O169+SUM(L562:L563)</f>
        <v>4754</v>
      </c>
      <c r="L565" s="93"/>
      <c r="M565" s="38">
        <f>Source!U169</f>
        <v>8.5359899999999982</v>
      </c>
      <c r="O565" s="37">
        <f>H565</f>
        <v>351</v>
      </c>
      <c r="P565" s="37">
        <f>K565</f>
        <v>4754</v>
      </c>
      <c r="Q565" s="48">
        <f>M565</f>
        <v>8.5359899999999982</v>
      </c>
      <c r="W565">
        <f>IF(Source!BI169&lt;=1,H565, 0)</f>
        <v>351</v>
      </c>
      <c r="X565">
        <f>IF(Source!BI169=2,H565, 0)</f>
        <v>0</v>
      </c>
      <c r="Y565">
        <f>IF(Source!BI169=3,H565, 0)</f>
        <v>0</v>
      </c>
      <c r="Z565">
        <f>IF(Source!BI169=4,H565, 0)</f>
        <v>0</v>
      </c>
    </row>
    <row r="566" spans="1:32" ht="42">
      <c r="A566" s="27">
        <v>71</v>
      </c>
      <c r="B566" s="27" t="str">
        <f>Source!E170</f>
        <v>67</v>
      </c>
      <c r="C566" s="28" t="str">
        <f>Source!F170</f>
        <v>203-8126</v>
      </c>
      <c r="D566" s="25" t="str">
        <f>Source!G170</f>
        <v>Дверь противопожарная металлическая двупольная ДПМ-02/30, размером 1300х2100 мм</v>
      </c>
      <c r="E566" s="30" t="str">
        <f>Source!H170</f>
        <v>шт.</v>
      </c>
      <c r="F566" s="10">
        <f>Source!I170</f>
        <v>1</v>
      </c>
      <c r="G566" s="32">
        <f>IF(Source!AK170&lt;&gt; 0, Source!AK170,Source!AL170 + Source!AM170 + Source!AO170)</f>
        <v>4600.2299999999996</v>
      </c>
      <c r="H566" s="31"/>
      <c r="I566" s="33"/>
      <c r="J566" s="31" t="str">
        <f>Source!BO170</f>
        <v>203-8126</v>
      </c>
      <c r="K566" s="31"/>
      <c r="L566" s="33"/>
      <c r="M566" s="34"/>
      <c r="S566">
        <f>ROUND((Source!FX170/100)*((ROUND(Source!AF170*Source!I170, 0)+ROUND(Source!AE170*Source!I170, 0))), 0)</f>
        <v>0</v>
      </c>
      <c r="T566">
        <f>Source!X170</f>
        <v>0</v>
      </c>
      <c r="U566">
        <f>ROUND((Source!FY170/100)*((ROUND(Source!AF170*Source!I170, 0)+ROUND(Source!AE170*Source!I170, 0))), 0)</f>
        <v>0</v>
      </c>
      <c r="V566">
        <f>Source!Y170</f>
        <v>0</v>
      </c>
    </row>
    <row r="567" spans="1:32" ht="14.4">
      <c r="A567" s="39"/>
      <c r="B567" s="39"/>
      <c r="C567" s="40"/>
      <c r="D567" s="41" t="s">
        <v>969</v>
      </c>
      <c r="E567" s="42"/>
      <c r="F567" s="43"/>
      <c r="G567" s="44">
        <f>Source!AL170</f>
        <v>4600.2299999999996</v>
      </c>
      <c r="H567" s="45" t="str">
        <f>Source!DD170</f>
        <v/>
      </c>
      <c r="I567" s="46">
        <f>ROUND(Source!AC170*Source!I170, 0)</f>
        <v>4600</v>
      </c>
      <c r="J567" s="45"/>
      <c r="K567" s="45">
        <f>IF(Source!BC170&lt;&gt; 0, Source!BC170, 1)</f>
        <v>3.71</v>
      </c>
      <c r="L567" s="46">
        <f>Source!P170</f>
        <v>17067</v>
      </c>
      <c r="M567" s="52"/>
    </row>
    <row r="568" spans="1:32" ht="13.8">
      <c r="H568" s="93">
        <f>ROUND(Source!AC170*Source!I170, 0)+ROUND(Source!AF170*Source!I170, 0)+ROUND(Source!AD170*Source!I170, 0)</f>
        <v>4600</v>
      </c>
      <c r="I568" s="93"/>
      <c r="K568" s="93">
        <f>Source!O170</f>
        <v>17067</v>
      </c>
      <c r="L568" s="93"/>
      <c r="M568" s="38">
        <f>Source!U170</f>
        <v>0</v>
      </c>
      <c r="O568" s="37">
        <f>H568</f>
        <v>4600</v>
      </c>
      <c r="P568" s="37">
        <f>K568</f>
        <v>17067</v>
      </c>
      <c r="Q568" s="48">
        <f>M568</f>
        <v>0</v>
      </c>
      <c r="W568">
        <f>IF(Source!BI170&lt;=1,H568, 0)</f>
        <v>4600</v>
      </c>
      <c r="X568">
        <f>IF(Source!BI170=2,H568, 0)</f>
        <v>0</v>
      </c>
      <c r="Y568">
        <f>IF(Source!BI170=3,H568, 0)</f>
        <v>0</v>
      </c>
      <c r="Z568">
        <f>IF(Source!BI170=4,H568, 0)</f>
        <v>0</v>
      </c>
    </row>
    <row r="569" spans="1:32" ht="14.4">
      <c r="D569" s="98" t="str">
        <f>Source!G171</f>
        <v>Ремонт запасного входа</v>
      </c>
      <c r="E569" s="98"/>
      <c r="F569" s="98"/>
      <c r="G569" s="98"/>
      <c r="H569" s="98"/>
      <c r="I569" s="98"/>
      <c r="J569" s="98"/>
      <c r="K569" s="98"/>
      <c r="L569" s="98"/>
      <c r="M569" s="98"/>
      <c r="AF569" s="29" t="str">
        <f>Source!G171</f>
        <v>Ремонт запасного входа</v>
      </c>
    </row>
    <row r="570" spans="1:32" ht="28.2">
      <c r="A570" s="27">
        <v>72</v>
      </c>
      <c r="B570" s="27" t="str">
        <f>Source!E172</f>
        <v>68</v>
      </c>
      <c r="C570" s="28" t="str">
        <f>Source!F172</f>
        <v>46-04-012-3</v>
      </c>
      <c r="D570" s="25" t="str">
        <f>Source!G172</f>
        <v>Разборка деревянных заполнений проемов дверных и воротных</v>
      </c>
      <c r="E570" s="30" t="str">
        <f>Source!H172</f>
        <v>100 м2</v>
      </c>
      <c r="F570" s="10">
        <f>Source!I172</f>
        <v>1.47E-2</v>
      </c>
      <c r="G570" s="32">
        <f>IF(Source!AK172&lt;&gt; 0, Source!AK172,Source!AL172 + Source!AM172 + Source!AO172)</f>
        <v>1033.94</v>
      </c>
      <c r="H570" s="31"/>
      <c r="I570" s="33"/>
      <c r="J570" s="31" t="str">
        <f>Source!BO172</f>
        <v>46-04-012-3</v>
      </c>
      <c r="K570" s="31"/>
      <c r="L570" s="33"/>
      <c r="M570" s="34"/>
      <c r="S570">
        <f>ROUND((Source!FX172/100)*((ROUND(Source!AF172*Source!I172, 0)+ROUND(Source!AE172*Source!I172, 0))), 0)</f>
        <v>9</v>
      </c>
      <c r="T570">
        <f>Source!X172</f>
        <v>186</v>
      </c>
      <c r="U570">
        <f>ROUND((Source!FY172/100)*((ROUND(Source!AF172*Source!I172, 0)+ROUND(Source!AE172*Source!I172, 0))), 0)</f>
        <v>7</v>
      </c>
      <c r="V570">
        <f>Source!Y172</f>
        <v>146</v>
      </c>
    </row>
    <row r="571" spans="1:32">
      <c r="D571" s="49" t="str">
        <f>"Объем: "&amp;Source!I172&amp;"=1,47/"&amp;"100"</f>
        <v>Объем: 0,0147=1,47/100</v>
      </c>
    </row>
    <row r="572" spans="1:32" ht="14.4">
      <c r="A572" s="27"/>
      <c r="B572" s="27"/>
      <c r="C572" s="28"/>
      <c r="D572" s="25" t="s">
        <v>962</v>
      </c>
      <c r="E572" s="30"/>
      <c r="F572" s="10"/>
      <c r="G572" s="32">
        <f>Source!AO172</f>
        <v>785.56</v>
      </c>
      <c r="H572" s="31" t="str">
        <f>Source!DG172</f>
        <v/>
      </c>
      <c r="I572" s="33">
        <f>ROUND(Source!AF172*Source!I172, 0)</f>
        <v>12</v>
      </c>
      <c r="J572" s="31"/>
      <c r="K572" s="31">
        <f>IF(Source!BA172&lt;&gt; 0, Source!BA172, 1)</f>
        <v>20.88</v>
      </c>
      <c r="L572" s="33">
        <f>Source!S172</f>
        <v>241</v>
      </c>
      <c r="M572" s="34"/>
      <c r="R572">
        <f>I572</f>
        <v>12</v>
      </c>
    </row>
    <row r="573" spans="1:32" ht="14.4">
      <c r="A573" s="27"/>
      <c r="B573" s="27"/>
      <c r="C573" s="28"/>
      <c r="D573" s="25" t="s">
        <v>125</v>
      </c>
      <c r="E573" s="30"/>
      <c r="F573" s="10"/>
      <c r="G573" s="32">
        <f>Source!AM172</f>
        <v>248.38</v>
      </c>
      <c r="H573" s="31" t="str">
        <f>Source!DE172</f>
        <v/>
      </c>
      <c r="I573" s="33">
        <f>ROUND(Source!AD172*Source!I172, 0)</f>
        <v>4</v>
      </c>
      <c r="J573" s="31"/>
      <c r="K573" s="31">
        <f>IF(Source!BB172&lt;&gt; 0, Source!BB172, 1)</f>
        <v>10.210000000000001</v>
      </c>
      <c r="L573" s="33">
        <f>Source!Q172</f>
        <v>37</v>
      </c>
      <c r="M573" s="34"/>
    </row>
    <row r="574" spans="1:32" ht="14.4">
      <c r="A574" s="27"/>
      <c r="B574" s="27"/>
      <c r="C574" s="28"/>
      <c r="D574" s="25" t="s">
        <v>963</v>
      </c>
      <c r="E574" s="30"/>
      <c r="F574" s="10"/>
      <c r="G574" s="32">
        <f>Source!AN172</f>
        <v>93.65</v>
      </c>
      <c r="H574" s="31" t="str">
        <f>Source!DF172</f>
        <v/>
      </c>
      <c r="I574" s="33">
        <f>ROUND(Source!AE172*Source!I172, 0)</f>
        <v>1</v>
      </c>
      <c r="J574" s="31"/>
      <c r="K574" s="31">
        <f>IF(Source!BS172&lt;&gt; 0, Source!BS172, 1)</f>
        <v>20.88</v>
      </c>
      <c r="L574" s="33">
        <f>Source!R172</f>
        <v>29</v>
      </c>
      <c r="M574" s="34"/>
      <c r="R574">
        <f>I574</f>
        <v>1</v>
      </c>
    </row>
    <row r="575" spans="1:32" ht="14.4">
      <c r="A575" s="27"/>
      <c r="B575" s="27"/>
      <c r="C575" s="28"/>
      <c r="D575" s="25" t="s">
        <v>964</v>
      </c>
      <c r="E575" s="30" t="s">
        <v>965</v>
      </c>
      <c r="F575" s="10">
        <f>Source!BZ172</f>
        <v>110</v>
      </c>
      <c r="G575" s="92" t="str">
        <f>CONCATENATE(" )", Source!DL172, Source!FT172, "=", Source!FX172)</f>
        <v xml:space="preserve"> )*0,9*0,7=69,3</v>
      </c>
      <c r="H575" s="90"/>
      <c r="I575" s="33">
        <f>SUM(S570:S577)</f>
        <v>9</v>
      </c>
      <c r="J575" s="35"/>
      <c r="K575" s="25">
        <f>Source!AT172</f>
        <v>69</v>
      </c>
      <c r="L575" s="33">
        <f>SUM(T570:T577)</f>
        <v>186</v>
      </c>
      <c r="M575" s="34"/>
    </row>
    <row r="576" spans="1:32" ht="14.4">
      <c r="A576" s="27"/>
      <c r="B576" s="27"/>
      <c r="C576" s="28"/>
      <c r="D576" s="25" t="s">
        <v>966</v>
      </c>
      <c r="E576" s="30" t="s">
        <v>965</v>
      </c>
      <c r="F576" s="10">
        <f>Source!CA172</f>
        <v>70</v>
      </c>
      <c r="G576" s="92" t="str">
        <f>CONCATENATE(" )", Source!DM172, Source!FU172, "=", Source!FY172)</f>
        <v xml:space="preserve"> )*0,85*0,9=53,55</v>
      </c>
      <c r="H576" s="90"/>
      <c r="I576" s="33">
        <f>SUM(U570:U577)</f>
        <v>7</v>
      </c>
      <c r="J576" s="35"/>
      <c r="K576" s="25">
        <f>Source!AU172</f>
        <v>54</v>
      </c>
      <c r="L576" s="33">
        <f>SUM(V570:V577)</f>
        <v>146</v>
      </c>
      <c r="M576" s="34"/>
    </row>
    <row r="577" spans="1:28" ht="14.4">
      <c r="A577" s="39"/>
      <c r="B577" s="39"/>
      <c r="C577" s="40"/>
      <c r="D577" s="41" t="s">
        <v>967</v>
      </c>
      <c r="E577" s="42" t="s">
        <v>968</v>
      </c>
      <c r="F577" s="43">
        <f>Source!AQ172</f>
        <v>103.91</v>
      </c>
      <c r="G577" s="44"/>
      <c r="H577" s="45" t="str">
        <f>Source!DI172</f>
        <v/>
      </c>
      <c r="I577" s="46"/>
      <c r="J577" s="45"/>
      <c r="K577" s="45"/>
      <c r="L577" s="46"/>
      <c r="M577" s="47">
        <f>Source!U172</f>
        <v>1.527477</v>
      </c>
    </row>
    <row r="578" spans="1:28" ht="13.8">
      <c r="H578" s="93">
        <f>ROUND(Source!AC172*Source!I172, 0)+ROUND(Source!AF172*Source!I172, 0)+ROUND(Source!AD172*Source!I172, 0)+SUM(I575:I576)</f>
        <v>32</v>
      </c>
      <c r="I578" s="93"/>
      <c r="K578" s="93">
        <f>Source!O172+SUM(L575:L576)</f>
        <v>610</v>
      </c>
      <c r="L578" s="93"/>
      <c r="M578" s="38">
        <f>Source!U172</f>
        <v>1.527477</v>
      </c>
      <c r="O578" s="37">
        <f>H578</f>
        <v>32</v>
      </c>
      <c r="P578" s="37">
        <f>K578</f>
        <v>610</v>
      </c>
      <c r="Q578" s="48">
        <f>M578</f>
        <v>1.527477</v>
      </c>
      <c r="W578">
        <f>IF(Source!BI172&lt;=1,H578, 0)</f>
        <v>32</v>
      </c>
      <c r="X578">
        <f>IF(Source!BI172=2,H578, 0)</f>
        <v>0</v>
      </c>
      <c r="Y578">
        <f>IF(Source!BI172=3,H578, 0)</f>
        <v>0</v>
      </c>
      <c r="Z578">
        <f>IF(Source!BI172=4,H578, 0)</f>
        <v>0</v>
      </c>
    </row>
    <row r="579" spans="1:28" ht="43.2">
      <c r="A579" s="27">
        <v>73</v>
      </c>
      <c r="B579" s="27" t="str">
        <f>Source!E173</f>
        <v>69</v>
      </c>
      <c r="C579" s="28" t="str">
        <f>Source!F173</f>
        <v>10-01-039-1</v>
      </c>
      <c r="D579" s="25" t="str">
        <f>Source!G173</f>
        <v>Установка блоков в наружных и внутренних дверных проемах в каменных стенах, площадь проема до 3 м2</v>
      </c>
      <c r="E579" s="30" t="str">
        <f>Source!H173</f>
        <v>100 М2 ПРОЕМОВ</v>
      </c>
      <c r="F579" s="10">
        <f>Source!I173</f>
        <v>3.5700000000000003E-2</v>
      </c>
      <c r="G579" s="32">
        <f>IF(Source!AK173&lt;&gt; 0, Source!AK173,Source!AL173 + Source!AM173 + Source!AO173)</f>
        <v>25859.68</v>
      </c>
      <c r="H579" s="31"/>
      <c r="I579" s="33"/>
      <c r="J579" s="31" t="str">
        <f>Source!BO173</f>
        <v>10-01-039-1</v>
      </c>
      <c r="K579" s="31"/>
      <c r="L579" s="33"/>
      <c r="M579" s="34"/>
      <c r="S579">
        <f>ROUND((Source!FX173/100)*((ROUND(Source!AF173*Source!I173, 0)+ROUND(Source!AE173*Source!I173, 0))), 0)</f>
        <v>32</v>
      </c>
      <c r="T579">
        <f>Source!X173</f>
        <v>662</v>
      </c>
      <c r="U579">
        <f>ROUND((Source!FY173/100)*((ROUND(Source!AF173*Source!I173, 0)+ROUND(Source!AE173*Source!I173, 0))), 0)</f>
        <v>21</v>
      </c>
      <c r="V579">
        <f>Source!Y173</f>
        <v>430</v>
      </c>
    </row>
    <row r="580" spans="1:28">
      <c r="D580" s="49" t="str">
        <f>"Объем: "&amp;Source!I173&amp;"=3,57/"&amp;"100"</f>
        <v>Объем: 0,0357=3,57/100</v>
      </c>
    </row>
    <row r="581" spans="1:28" ht="14.4">
      <c r="A581" s="27"/>
      <c r="B581" s="27"/>
      <c r="C581" s="28"/>
      <c r="D581" s="25" t="s">
        <v>962</v>
      </c>
      <c r="E581" s="30"/>
      <c r="F581" s="10"/>
      <c r="G581" s="32">
        <f>Source!AO173</f>
        <v>894.72</v>
      </c>
      <c r="H581" s="31" t="str">
        <f>Source!DG173</f>
        <v>)*1,15</v>
      </c>
      <c r="I581" s="33">
        <f>ROUND(Source!AF173*Source!I173, 0)</f>
        <v>37</v>
      </c>
      <c r="J581" s="31"/>
      <c r="K581" s="31">
        <f>IF(Source!BA173&lt;&gt; 0, Source!BA173, 1)</f>
        <v>20.88</v>
      </c>
      <c r="L581" s="33">
        <f>Source!S173</f>
        <v>767</v>
      </c>
      <c r="M581" s="34"/>
      <c r="R581">
        <f>I581</f>
        <v>37</v>
      </c>
    </row>
    <row r="582" spans="1:28" ht="14.4">
      <c r="A582" s="27"/>
      <c r="B582" s="27"/>
      <c r="C582" s="28"/>
      <c r="D582" s="25" t="s">
        <v>125</v>
      </c>
      <c r="E582" s="30"/>
      <c r="F582" s="10"/>
      <c r="G582" s="32">
        <f>Source!AM173</f>
        <v>1450.9</v>
      </c>
      <c r="H582" s="31" t="str">
        <f>Source!DE173</f>
        <v>)*1,25</v>
      </c>
      <c r="I582" s="33">
        <f>ROUND(Source!AD173*Source!I173, 0)</f>
        <v>65</v>
      </c>
      <c r="J582" s="31"/>
      <c r="K582" s="31">
        <f>IF(Source!BB173&lt;&gt; 0, Source!BB173, 1)</f>
        <v>7.28</v>
      </c>
      <c r="L582" s="33">
        <f>Source!Q173</f>
        <v>471</v>
      </c>
      <c r="M582" s="34"/>
    </row>
    <row r="583" spans="1:28" ht="14.4">
      <c r="A583" s="27"/>
      <c r="B583" s="27"/>
      <c r="C583" s="28"/>
      <c r="D583" s="25" t="s">
        <v>963</v>
      </c>
      <c r="E583" s="30"/>
      <c r="F583" s="10"/>
      <c r="G583" s="32">
        <f>Source!AN173</f>
        <v>137.34</v>
      </c>
      <c r="H583" s="31" t="str">
        <f>Source!DF173</f>
        <v>)*1,25</v>
      </c>
      <c r="I583" s="33">
        <f>ROUND(Source!AE173*Source!I173, 0)</f>
        <v>6</v>
      </c>
      <c r="J583" s="31"/>
      <c r="K583" s="31">
        <f>IF(Source!BS173&lt;&gt; 0, Source!BS173, 1)</f>
        <v>20.88</v>
      </c>
      <c r="L583" s="33">
        <f>Source!R173</f>
        <v>128</v>
      </c>
      <c r="M583" s="34"/>
      <c r="R583">
        <f>I583</f>
        <v>6</v>
      </c>
    </row>
    <row r="584" spans="1:28" ht="14.4">
      <c r="A584" s="27"/>
      <c r="B584" s="27"/>
      <c r="C584" s="28"/>
      <c r="D584" s="25" t="s">
        <v>969</v>
      </c>
      <c r="E584" s="30"/>
      <c r="F584" s="10"/>
      <c r="G584" s="32">
        <f>Source!AL173</f>
        <v>23514.06</v>
      </c>
      <c r="H584" s="31" t="str">
        <f>Source!DD173</f>
        <v/>
      </c>
      <c r="I584" s="33">
        <f>ROUND(Source!AC173*Source!I173, 0)</f>
        <v>839</v>
      </c>
      <c r="J584" s="31"/>
      <c r="K584" s="31">
        <f>IF(Source!BC173&lt;&gt; 0, Source!BC173, 1)</f>
        <v>6.18</v>
      </c>
      <c r="L584" s="33">
        <f>Source!P173</f>
        <v>5188</v>
      </c>
      <c r="M584" s="34"/>
    </row>
    <row r="585" spans="1:28" ht="14.4">
      <c r="A585" s="27"/>
      <c r="B585" s="27"/>
      <c r="C585" s="28"/>
      <c r="D585" s="25" t="s">
        <v>964</v>
      </c>
      <c r="E585" s="30" t="s">
        <v>965</v>
      </c>
      <c r="F585" s="10">
        <f>Source!BZ173</f>
        <v>118</v>
      </c>
      <c r="G585" s="92" t="str">
        <f>CONCATENATE(" )", Source!DL173, Source!FT173, "=", Source!FX173)</f>
        <v xml:space="preserve"> )*0,9*0,7=74,34</v>
      </c>
      <c r="H585" s="90"/>
      <c r="I585" s="33">
        <f>SUM(S579:S588)</f>
        <v>32</v>
      </c>
      <c r="J585" s="35"/>
      <c r="K585" s="25">
        <f>Source!AT173</f>
        <v>74</v>
      </c>
      <c r="L585" s="33">
        <f>SUM(T579:T588)</f>
        <v>662</v>
      </c>
      <c r="M585" s="34"/>
    </row>
    <row r="586" spans="1:28" ht="14.4">
      <c r="A586" s="27"/>
      <c r="B586" s="27"/>
      <c r="C586" s="28"/>
      <c r="D586" s="25" t="s">
        <v>966</v>
      </c>
      <c r="E586" s="30" t="s">
        <v>965</v>
      </c>
      <c r="F586" s="10">
        <f>Source!CA173</f>
        <v>63</v>
      </c>
      <c r="G586" s="92" t="str">
        <f>CONCATENATE(" )", Source!DM173, Source!FU173, "=", Source!FY173)</f>
        <v xml:space="preserve"> )*0,85*0,9=48,195</v>
      </c>
      <c r="H586" s="90"/>
      <c r="I586" s="33">
        <f>SUM(U579:U588)</f>
        <v>21</v>
      </c>
      <c r="J586" s="35"/>
      <c r="K586" s="25">
        <f>Source!AU173</f>
        <v>48</v>
      </c>
      <c r="L586" s="33">
        <f>SUM(V579:V588)</f>
        <v>430</v>
      </c>
      <c r="M586" s="34"/>
    </row>
    <row r="587" spans="1:28" ht="14.4">
      <c r="A587" s="27"/>
      <c r="B587" s="27"/>
      <c r="C587" s="28"/>
      <c r="D587" s="25" t="s">
        <v>967</v>
      </c>
      <c r="E587" s="30" t="s">
        <v>968</v>
      </c>
      <c r="F587" s="10">
        <f>Source!AQ173</f>
        <v>104.28</v>
      </c>
      <c r="G587" s="32"/>
      <c r="H587" s="31" t="str">
        <f>Source!DI173</f>
        <v>)*1,15</v>
      </c>
      <c r="I587" s="33"/>
      <c r="J587" s="31"/>
      <c r="K587" s="31"/>
      <c r="L587" s="33"/>
      <c r="M587" s="36">
        <f>Source!U173</f>
        <v>4.2812153999999998</v>
      </c>
    </row>
    <row r="588" spans="1:28" ht="43.2">
      <c r="A588" s="53">
        <v>74</v>
      </c>
      <c r="B588" s="53" t="str">
        <f>Source!E174</f>
        <v>69,1</v>
      </c>
      <c r="C588" s="53" t="str">
        <f>Source!F174</f>
        <v>203-0223</v>
      </c>
      <c r="D588" s="53" t="str">
        <f>Source!G174</f>
        <v>Блоки дверные с рамочными полотнами однопольные ДН 21-10, площадь 2,05 м2; ДН 24-10, площадь 2,35 м2</v>
      </c>
      <c r="E588" s="54" t="str">
        <f>Source!H174</f>
        <v>м2</v>
      </c>
      <c r="F588" s="55">
        <f>Source!I174</f>
        <v>-3.57</v>
      </c>
      <c r="G588" s="56">
        <f>Source!AK174</f>
        <v>208.29</v>
      </c>
      <c r="H588" s="57" t="s">
        <v>3</v>
      </c>
      <c r="I588" s="58">
        <f>ROUND(Source!AC174*Source!I174, 0)+ROUND(Source!AD174*Source!I174, 0)+ROUND(Source!AF174*Source!I174, 0)</f>
        <v>-744</v>
      </c>
      <c r="J588" s="54"/>
      <c r="K588" s="54">
        <f>IF(Source!BC174&lt;&gt; 0, Source!BC174, 1)</f>
        <v>6.33</v>
      </c>
      <c r="L588" s="58">
        <f>Source!O174</f>
        <v>-4707</v>
      </c>
      <c r="M588" s="56"/>
      <c r="S588">
        <f>ROUND((Source!FX174/100)*((ROUND(Source!AF174*Source!I174, 0)+ROUND(Source!AE174*Source!I174, 0))), 0)</f>
        <v>0</v>
      </c>
      <c r="T588">
        <f>Source!X174</f>
        <v>0</v>
      </c>
      <c r="U588">
        <f>ROUND((Source!FY174/100)*((ROUND(Source!AF174*Source!I174, 0)+ROUND(Source!AE174*Source!I174, 0))), 0)</f>
        <v>0</v>
      </c>
      <c r="V588">
        <f>Source!Y174</f>
        <v>0</v>
      </c>
      <c r="Y588">
        <f>IF(Source!BI174=3,I588, 0)</f>
        <v>0</v>
      </c>
      <c r="AA588">
        <f>ROUND(Source!AC174*Source!I174, 0)+ROUND(Source!AD174*Source!I174, 0)+ROUND(Source!AF174*Source!I174, 0)</f>
        <v>-744</v>
      </c>
      <c r="AB588">
        <f>Source!O174</f>
        <v>-4707</v>
      </c>
    </row>
    <row r="589" spans="1:28" ht="13.8">
      <c r="H589" s="93">
        <f>ROUND(Source!AC173*Source!I173, 0)+ROUND(Source!AF173*Source!I173, 0)+ROUND(Source!AD173*Source!I173, 0)+SUM(I585:I586)+SUM(AA588:AA588)</f>
        <v>250</v>
      </c>
      <c r="I589" s="93"/>
      <c r="K589" s="93">
        <f>Source!O173+SUM(L585:L586)+SUM(AB588:AB588)</f>
        <v>2811</v>
      </c>
      <c r="L589" s="93"/>
      <c r="M589" s="38">
        <f>Source!U173</f>
        <v>4.2812153999999998</v>
      </c>
      <c r="O589" s="37">
        <f>H589</f>
        <v>250</v>
      </c>
      <c r="P589" s="37">
        <f>K589</f>
        <v>2811</v>
      </c>
      <c r="Q589" s="48">
        <f>M589</f>
        <v>4.2812153999999998</v>
      </c>
      <c r="W589">
        <f>IF(Source!BI173&lt;=1,H589, 0)</f>
        <v>250</v>
      </c>
      <c r="X589">
        <f>IF(Source!BI173=2,H589, 0)</f>
        <v>0</v>
      </c>
      <c r="Y589">
        <f>IF(Source!BI173=3,H589, 0)</f>
        <v>0</v>
      </c>
      <c r="Z589">
        <f>IF(Source!BI173=4,H589, 0)</f>
        <v>0</v>
      </c>
    </row>
    <row r="590" spans="1:28" ht="42">
      <c r="A590" s="27">
        <v>75</v>
      </c>
      <c r="B590" s="27" t="str">
        <f>Source!E175</f>
        <v>70</v>
      </c>
      <c r="C590" s="28" t="str">
        <f>Source!F175</f>
        <v>203-8095</v>
      </c>
      <c r="D590" s="25" t="str">
        <f>Source!G175</f>
        <v>Блоки дверные внутренние однопольные глухие шлифованные, из массива сосны, тонированные</v>
      </c>
      <c r="E590" s="30" t="str">
        <f>Source!H175</f>
        <v>м2</v>
      </c>
      <c r="F590" s="10">
        <f>Source!I175</f>
        <v>3.57</v>
      </c>
      <c r="G590" s="32">
        <f>IF(Source!AK175&lt;&gt; 0, Source!AK175,Source!AL175 + Source!AM175 + Source!AO175)</f>
        <v>1470.52</v>
      </c>
      <c r="H590" s="31"/>
      <c r="I590" s="33"/>
      <c r="J590" s="31" t="str">
        <f>Source!BO175</f>
        <v>203-8095</v>
      </c>
      <c r="K590" s="31"/>
      <c r="L590" s="33"/>
      <c r="M590" s="34"/>
      <c r="S590">
        <f>ROUND((Source!FX175/100)*((ROUND(Source!AF175*Source!I175, 0)+ROUND(Source!AE175*Source!I175, 0))), 0)</f>
        <v>0</v>
      </c>
      <c r="T590">
        <f>Source!X175</f>
        <v>0</v>
      </c>
      <c r="U590">
        <f>ROUND((Source!FY175/100)*((ROUND(Source!AF175*Source!I175, 0)+ROUND(Source!AE175*Source!I175, 0))), 0)</f>
        <v>0</v>
      </c>
      <c r="V590">
        <f>Source!Y175</f>
        <v>0</v>
      </c>
    </row>
    <row r="591" spans="1:28" ht="14.4">
      <c r="A591" s="39"/>
      <c r="B591" s="39"/>
      <c r="C591" s="40"/>
      <c r="D591" s="41" t="s">
        <v>969</v>
      </c>
      <c r="E591" s="42"/>
      <c r="F591" s="43"/>
      <c r="G591" s="44">
        <f>Source!AL175</f>
        <v>1470.52</v>
      </c>
      <c r="H591" s="45" t="str">
        <f>Source!DD175</f>
        <v/>
      </c>
      <c r="I591" s="46">
        <f>ROUND(Source!AC175*Source!I175, 0)</f>
        <v>5250</v>
      </c>
      <c r="J591" s="45"/>
      <c r="K591" s="45">
        <f>IF(Source!BC175&lt;&gt; 0, Source!BC175, 1)</f>
        <v>3.15</v>
      </c>
      <c r="L591" s="46">
        <f>Source!P175</f>
        <v>16537</v>
      </c>
      <c r="M591" s="52"/>
    </row>
    <row r="592" spans="1:28" ht="13.8">
      <c r="H592" s="93">
        <f>ROUND(Source!AC175*Source!I175, 0)+ROUND(Source!AF175*Source!I175, 0)+ROUND(Source!AD175*Source!I175, 0)</f>
        <v>5250</v>
      </c>
      <c r="I592" s="93"/>
      <c r="K592" s="93">
        <f>Source!O175</f>
        <v>16537</v>
      </c>
      <c r="L592" s="93"/>
      <c r="M592" s="38">
        <f>Source!U175</f>
        <v>0</v>
      </c>
      <c r="O592" s="37">
        <f>H592</f>
        <v>5250</v>
      </c>
      <c r="P592" s="37">
        <f>K592</f>
        <v>16537</v>
      </c>
      <c r="Q592" s="48">
        <f>M592</f>
        <v>0</v>
      </c>
      <c r="W592">
        <f>IF(Source!BI175&lt;=1,H592, 0)</f>
        <v>5250</v>
      </c>
      <c r="X592">
        <f>IF(Source!BI175=2,H592, 0)</f>
        <v>0</v>
      </c>
      <c r="Y592">
        <f>IF(Source!BI175=3,H592, 0)</f>
        <v>0</v>
      </c>
      <c r="Z592">
        <f>IF(Source!BI175=4,H592, 0)</f>
        <v>0</v>
      </c>
    </row>
    <row r="593" spans="1:26" ht="28.2">
      <c r="A593" s="27">
        <v>76</v>
      </c>
      <c r="B593" s="27" t="str">
        <f>Source!E176</f>
        <v>71</v>
      </c>
      <c r="C593" s="28" t="str">
        <f>Source!F176</f>
        <v>101-0950</v>
      </c>
      <c r="D593" s="25" t="str">
        <f>Source!G176</f>
        <v>Замок врезной оцинкованный с цилиндровым механизмом</v>
      </c>
      <c r="E593" s="30" t="str">
        <f>Source!H176</f>
        <v>компл.</v>
      </c>
      <c r="F593" s="10">
        <f>Source!I176</f>
        <v>2</v>
      </c>
      <c r="G593" s="32">
        <f>IF(Source!AK176&lt;&gt; 0, Source!AK176,Source!AL176 + Source!AM176 + Source!AO176)</f>
        <v>75.7</v>
      </c>
      <c r="H593" s="31"/>
      <c r="I593" s="33"/>
      <c r="J593" s="31" t="str">
        <f>Source!BO176</f>
        <v>101-0950</v>
      </c>
      <c r="K593" s="31"/>
      <c r="L593" s="33"/>
      <c r="M593" s="34"/>
      <c r="S593">
        <f>ROUND((Source!FX176/100)*((ROUND(Source!AF176*Source!I176, 0)+ROUND(Source!AE176*Source!I176, 0))), 0)</f>
        <v>0</v>
      </c>
      <c r="T593">
        <f>Source!X176</f>
        <v>0</v>
      </c>
      <c r="U593">
        <f>ROUND((Source!FY176/100)*((ROUND(Source!AF176*Source!I176, 0)+ROUND(Source!AE176*Source!I176, 0))), 0)</f>
        <v>0</v>
      </c>
      <c r="V593">
        <f>Source!Y176</f>
        <v>0</v>
      </c>
    </row>
    <row r="594" spans="1:26" ht="14.4">
      <c r="A594" s="39"/>
      <c r="B594" s="39"/>
      <c r="C594" s="40"/>
      <c r="D594" s="41" t="s">
        <v>969</v>
      </c>
      <c r="E594" s="42"/>
      <c r="F594" s="43"/>
      <c r="G594" s="44">
        <f>Source!AL176</f>
        <v>75.7</v>
      </c>
      <c r="H594" s="45" t="str">
        <f>Source!DD176</f>
        <v/>
      </c>
      <c r="I594" s="46">
        <f>ROUND(Source!AC176*Source!I176, 0)</f>
        <v>151</v>
      </c>
      <c r="J594" s="45"/>
      <c r="K594" s="45">
        <f>IF(Source!BC176&lt;&gt; 0, Source!BC176, 1)</f>
        <v>4.47</v>
      </c>
      <c r="L594" s="46">
        <f>Source!P176</f>
        <v>677</v>
      </c>
      <c r="M594" s="52"/>
    </row>
    <row r="595" spans="1:26" ht="13.8">
      <c r="H595" s="93">
        <f>ROUND(Source!AC176*Source!I176, 0)+ROUND(Source!AF176*Source!I176, 0)+ROUND(Source!AD176*Source!I176, 0)</f>
        <v>151</v>
      </c>
      <c r="I595" s="93"/>
      <c r="K595" s="93">
        <f>Source!O176</f>
        <v>677</v>
      </c>
      <c r="L595" s="93"/>
      <c r="M595" s="38">
        <f>Source!U176</f>
        <v>0</v>
      </c>
      <c r="O595" s="37">
        <f>H595</f>
        <v>151</v>
      </c>
      <c r="P595" s="37">
        <f>K595</f>
        <v>677</v>
      </c>
      <c r="Q595" s="48">
        <f>M595</f>
        <v>0</v>
      </c>
      <c r="W595">
        <f>IF(Source!BI176&lt;=1,H595, 0)</f>
        <v>151</v>
      </c>
      <c r="X595">
        <f>IF(Source!BI176=2,H595, 0)</f>
        <v>0</v>
      </c>
      <c r="Y595">
        <f>IF(Source!BI176=3,H595, 0)</f>
        <v>0</v>
      </c>
      <c r="Z595">
        <f>IF(Source!BI176=4,H595, 0)</f>
        <v>0</v>
      </c>
    </row>
    <row r="596" spans="1:26" ht="43.2">
      <c r="A596" s="27">
        <v>77</v>
      </c>
      <c r="B596" s="27" t="str">
        <f>Source!E177</f>
        <v>72</v>
      </c>
      <c r="C596" s="28" t="str">
        <f>Source!F177</f>
        <v>10-01-060-1</v>
      </c>
      <c r="D596" s="25" t="str">
        <f>Source!G177</f>
        <v>Установка и крепление наличников</v>
      </c>
      <c r="E596" s="30" t="str">
        <f>Source!H177</f>
        <v>100 м коробок блоков</v>
      </c>
      <c r="F596" s="10">
        <f>Source!I177</f>
        <v>0.14599999999999999</v>
      </c>
      <c r="G596" s="32">
        <f>IF(Source!AK177&lt;&gt; 0, Source!AK177,Source!AL177 + Source!AM177 + Source!AO177)</f>
        <v>516.04</v>
      </c>
      <c r="H596" s="31"/>
      <c r="I596" s="33"/>
      <c r="J596" s="31" t="str">
        <f>Source!BO177</f>
        <v>10-01-060-1</v>
      </c>
      <c r="K596" s="31"/>
      <c r="L596" s="33"/>
      <c r="M596" s="34"/>
      <c r="S596">
        <f>ROUND((Source!FX177/100)*((ROUND(Source!AF177*Source!I177, 0)+ROUND(Source!AE177*Source!I177, 0))), 0)</f>
        <v>7</v>
      </c>
      <c r="T596">
        <f>Source!X177</f>
        <v>155</v>
      </c>
      <c r="U596">
        <f>ROUND((Source!FY177/100)*((ROUND(Source!AF177*Source!I177, 0)+ROUND(Source!AE177*Source!I177, 0))), 0)</f>
        <v>5</v>
      </c>
      <c r="V596">
        <f>Source!Y177</f>
        <v>100</v>
      </c>
    </row>
    <row r="597" spans="1:26">
      <c r="D597" s="49" t="str">
        <f>"Объем: "&amp;Source!I177&amp;"=14,6/"&amp;"100"</f>
        <v>Объем: 0,146=14,6/100</v>
      </c>
    </row>
    <row r="598" spans="1:26" ht="14.4">
      <c r="A598" s="27"/>
      <c r="B598" s="27"/>
      <c r="C598" s="28"/>
      <c r="D598" s="25" t="s">
        <v>962</v>
      </c>
      <c r="E598" s="30"/>
      <c r="F598" s="10"/>
      <c r="G598" s="32">
        <f>Source!AO177</f>
        <v>59.67</v>
      </c>
      <c r="H598" s="31" t="str">
        <f>Source!DG177</f>
        <v>)*1,15</v>
      </c>
      <c r="I598" s="33">
        <f>ROUND(Source!AF177*Source!I177, 0)</f>
        <v>10</v>
      </c>
      <c r="J598" s="31"/>
      <c r="K598" s="31">
        <f>IF(Source!BA177&lt;&gt; 0, Source!BA177, 1)</f>
        <v>20.88</v>
      </c>
      <c r="L598" s="33">
        <f>Source!S177</f>
        <v>209</v>
      </c>
      <c r="M598" s="34"/>
      <c r="R598">
        <f>I598</f>
        <v>10</v>
      </c>
    </row>
    <row r="599" spans="1:26" ht="14.4">
      <c r="A599" s="27"/>
      <c r="B599" s="27"/>
      <c r="C599" s="28"/>
      <c r="D599" s="25" t="s">
        <v>125</v>
      </c>
      <c r="E599" s="30"/>
      <c r="F599" s="10"/>
      <c r="G599" s="32">
        <f>Source!AM177</f>
        <v>3.67</v>
      </c>
      <c r="H599" s="31" t="str">
        <f>Source!DE177</f>
        <v>)*1,25</v>
      </c>
      <c r="I599" s="33">
        <f>ROUND(Source!AD177*Source!I177, 0)</f>
        <v>1</v>
      </c>
      <c r="J599" s="31"/>
      <c r="K599" s="31">
        <f>IF(Source!BB177&lt;&gt; 0, Source!BB177, 1)</f>
        <v>9.1999999999999993</v>
      </c>
      <c r="L599" s="33">
        <f>Source!Q177</f>
        <v>6</v>
      </c>
      <c r="M599" s="34"/>
    </row>
    <row r="600" spans="1:26" ht="14.4">
      <c r="A600" s="27"/>
      <c r="B600" s="27"/>
      <c r="C600" s="28"/>
      <c r="D600" s="25" t="s">
        <v>969</v>
      </c>
      <c r="E600" s="30"/>
      <c r="F600" s="10"/>
      <c r="G600" s="32">
        <f>Source!AL177</f>
        <v>452.7</v>
      </c>
      <c r="H600" s="31" t="str">
        <f>Source!DD177</f>
        <v/>
      </c>
      <c r="I600" s="33">
        <f>ROUND(Source!AC177*Source!I177, 0)</f>
        <v>66</v>
      </c>
      <c r="J600" s="31"/>
      <c r="K600" s="31">
        <f>IF(Source!BC177&lt;&gt; 0, Source!BC177, 1)</f>
        <v>12.28</v>
      </c>
      <c r="L600" s="33">
        <f>Source!P177</f>
        <v>812</v>
      </c>
      <c r="M600" s="34"/>
    </row>
    <row r="601" spans="1:26" ht="14.4">
      <c r="A601" s="27"/>
      <c r="B601" s="27"/>
      <c r="C601" s="28"/>
      <c r="D601" s="25" t="s">
        <v>964</v>
      </c>
      <c r="E601" s="30" t="s">
        <v>965</v>
      </c>
      <c r="F601" s="10">
        <f>Source!BZ177</f>
        <v>118</v>
      </c>
      <c r="G601" s="92" t="str">
        <f>CONCATENATE(" )", Source!DL177, Source!FT177, "=", Source!FX177)</f>
        <v xml:space="preserve"> )*0,9*0,7=74,34</v>
      </c>
      <c r="H601" s="90"/>
      <c r="I601" s="33">
        <f>SUM(S596:S603)</f>
        <v>7</v>
      </c>
      <c r="J601" s="35"/>
      <c r="K601" s="25">
        <f>Source!AT177</f>
        <v>74</v>
      </c>
      <c r="L601" s="33">
        <f>SUM(T596:T603)</f>
        <v>155</v>
      </c>
      <c r="M601" s="34"/>
    </row>
    <row r="602" spans="1:26" ht="14.4">
      <c r="A602" s="27"/>
      <c r="B602" s="27"/>
      <c r="C602" s="28"/>
      <c r="D602" s="25" t="s">
        <v>966</v>
      </c>
      <c r="E602" s="30" t="s">
        <v>965</v>
      </c>
      <c r="F602" s="10">
        <f>Source!CA177</f>
        <v>63</v>
      </c>
      <c r="G602" s="92" t="str">
        <f>CONCATENATE(" )", Source!DM177, Source!FU177, "=", Source!FY177)</f>
        <v xml:space="preserve"> )*0,85*0,9=48,195</v>
      </c>
      <c r="H602" s="90"/>
      <c r="I602" s="33">
        <f>SUM(U596:U603)</f>
        <v>5</v>
      </c>
      <c r="J602" s="35"/>
      <c r="K602" s="25">
        <f>Source!AU177</f>
        <v>48</v>
      </c>
      <c r="L602" s="33">
        <f>SUM(V596:V603)</f>
        <v>100</v>
      </c>
      <c r="M602" s="34"/>
    </row>
    <row r="603" spans="1:26" ht="14.4">
      <c r="A603" s="39"/>
      <c r="B603" s="39"/>
      <c r="C603" s="40"/>
      <c r="D603" s="41" t="s">
        <v>967</v>
      </c>
      <c r="E603" s="42" t="s">
        <v>968</v>
      </c>
      <c r="F603" s="43">
        <f>Source!AQ177</f>
        <v>7.82</v>
      </c>
      <c r="G603" s="44"/>
      <c r="H603" s="45" t="str">
        <f>Source!DI177</f>
        <v>)*1,15</v>
      </c>
      <c r="I603" s="46"/>
      <c r="J603" s="45"/>
      <c r="K603" s="45"/>
      <c r="L603" s="46"/>
      <c r="M603" s="47">
        <f>Source!U177</f>
        <v>1.312978</v>
      </c>
    </row>
    <row r="604" spans="1:26" ht="13.8">
      <c r="H604" s="93">
        <f>ROUND(Source!AC177*Source!I177, 0)+ROUND(Source!AF177*Source!I177, 0)+ROUND(Source!AD177*Source!I177, 0)+SUM(I601:I602)</f>
        <v>89</v>
      </c>
      <c r="I604" s="93"/>
      <c r="K604" s="93">
        <f>Source!O177+SUM(L601:L602)</f>
        <v>1282</v>
      </c>
      <c r="L604" s="93"/>
      <c r="M604" s="38">
        <f>Source!U177</f>
        <v>1.312978</v>
      </c>
      <c r="O604" s="37">
        <f>H604</f>
        <v>89</v>
      </c>
      <c r="P604" s="37">
        <f>K604</f>
        <v>1282</v>
      </c>
      <c r="Q604" s="48">
        <f>M604</f>
        <v>1.312978</v>
      </c>
      <c r="W604">
        <f>IF(Source!BI177&lt;=1,H604, 0)</f>
        <v>89</v>
      </c>
      <c r="X604">
        <f>IF(Source!BI177=2,H604, 0)</f>
        <v>0</v>
      </c>
      <c r="Y604">
        <f>IF(Source!BI177=3,H604, 0)</f>
        <v>0</v>
      </c>
      <c r="Z604">
        <f>IF(Source!BI177=4,H604, 0)</f>
        <v>0</v>
      </c>
    </row>
    <row r="605" spans="1:26" ht="55.8">
      <c r="A605" s="27">
        <v>78</v>
      </c>
      <c r="B605" s="27" t="str">
        <f>Source!E178</f>
        <v>73</v>
      </c>
      <c r="C605" s="28" t="str">
        <f>Source!F178</f>
        <v>15-01-050-4</v>
      </c>
      <c r="D605" s="25" t="str">
        <f>Source!G178</f>
        <v>Облицовка оконных и дверных откосов декоративным бумажно-слоистым пластиком или листами из синтетических материалов на клее (дверной добор)</v>
      </c>
      <c r="E605" s="30" t="str">
        <f>Source!H178</f>
        <v>100 М2 ОБЛИЦОВКИ</v>
      </c>
      <c r="F605" s="10">
        <f>Source!I178</f>
        <v>5.0000000000000001E-3</v>
      </c>
      <c r="G605" s="32">
        <f>IF(Source!AK178&lt;&gt; 0, Source!AK178,Source!AL178 + Source!AM178 + Source!AO178)</f>
        <v>13886.37</v>
      </c>
      <c r="H605" s="31"/>
      <c r="I605" s="33"/>
      <c r="J605" s="31" t="str">
        <f>Source!BO178</f>
        <v>15-01-050-4</v>
      </c>
      <c r="K605" s="31"/>
      <c r="L605" s="33"/>
      <c r="M605" s="34"/>
      <c r="S605">
        <f>ROUND((Source!FX178/100)*((ROUND(Source!AF178*Source!I178, 0)+ROUND(Source!AE178*Source!I178, 0))), 0)</f>
        <v>5</v>
      </c>
      <c r="T605">
        <f>Source!X178</f>
        <v>113</v>
      </c>
      <c r="U605">
        <f>ROUND((Source!FY178/100)*((ROUND(Source!AF178*Source!I178, 0)+ROUND(Source!AE178*Source!I178, 0))), 0)</f>
        <v>3</v>
      </c>
      <c r="V605">
        <f>Source!Y178</f>
        <v>72</v>
      </c>
    </row>
    <row r="606" spans="1:26">
      <c r="D606" s="49" t="str">
        <f>"Объем: "&amp;Source!I178&amp;"=0,5/"&amp;"100"</f>
        <v>Объем: 0,005=0,5/100</v>
      </c>
    </row>
    <row r="607" spans="1:26" ht="14.4">
      <c r="A607" s="27"/>
      <c r="B607" s="27"/>
      <c r="C607" s="28"/>
      <c r="D607" s="25" t="s">
        <v>962</v>
      </c>
      <c r="E607" s="30"/>
      <c r="F607" s="10"/>
      <c r="G607" s="32">
        <f>Source!AO178</f>
        <v>1428.31</v>
      </c>
      <c r="H607" s="31" t="str">
        <f>Source!DG178</f>
        <v>)*1,15</v>
      </c>
      <c r="I607" s="33">
        <f>ROUND(Source!AF178*Source!I178, 0)</f>
        <v>8</v>
      </c>
      <c r="J607" s="31"/>
      <c r="K607" s="31">
        <f>IF(Source!BA178&lt;&gt; 0, Source!BA178, 1)</f>
        <v>20.88</v>
      </c>
      <c r="L607" s="33">
        <f>Source!S178</f>
        <v>171</v>
      </c>
      <c r="M607" s="34"/>
      <c r="R607">
        <f>I607</f>
        <v>8</v>
      </c>
    </row>
    <row r="608" spans="1:26" ht="14.4">
      <c r="A608" s="27"/>
      <c r="B608" s="27"/>
      <c r="C608" s="28"/>
      <c r="D608" s="25" t="s">
        <v>125</v>
      </c>
      <c r="E608" s="30"/>
      <c r="F608" s="10"/>
      <c r="G608" s="32">
        <f>Source!AM178</f>
        <v>48.7</v>
      </c>
      <c r="H608" s="31" t="str">
        <f>Source!DE178</f>
        <v>)*1,25</v>
      </c>
      <c r="I608" s="33">
        <f>ROUND(Source!AD178*Source!I178, 0)</f>
        <v>0</v>
      </c>
      <c r="J608" s="31"/>
      <c r="K608" s="31">
        <f>IF(Source!BB178&lt;&gt; 0, Source!BB178, 1)</f>
        <v>9.23</v>
      </c>
      <c r="L608" s="33">
        <f>Source!Q178</f>
        <v>3</v>
      </c>
      <c r="M608" s="34"/>
    </row>
    <row r="609" spans="1:28" ht="14.4">
      <c r="A609" s="27"/>
      <c r="B609" s="27"/>
      <c r="C609" s="28"/>
      <c r="D609" s="25" t="s">
        <v>969</v>
      </c>
      <c r="E609" s="30"/>
      <c r="F609" s="10"/>
      <c r="G609" s="32">
        <f>Source!AL178</f>
        <v>12409.36</v>
      </c>
      <c r="H609" s="31" t="str">
        <f>Source!DD178</f>
        <v/>
      </c>
      <c r="I609" s="33">
        <f>ROUND(Source!AC178*Source!I178, 0)</f>
        <v>62</v>
      </c>
      <c r="J609" s="31"/>
      <c r="K609" s="31">
        <f>IF(Source!BC178&lt;&gt; 0, Source!BC178, 1)</f>
        <v>1.8</v>
      </c>
      <c r="L609" s="33">
        <f>Source!P178</f>
        <v>112</v>
      </c>
      <c r="M609" s="34"/>
    </row>
    <row r="610" spans="1:28" ht="14.4">
      <c r="A610" s="27"/>
      <c r="B610" s="27"/>
      <c r="C610" s="28"/>
      <c r="D610" s="25" t="s">
        <v>964</v>
      </c>
      <c r="E610" s="30" t="s">
        <v>965</v>
      </c>
      <c r="F610" s="10">
        <f>Source!BZ178</f>
        <v>105</v>
      </c>
      <c r="G610" s="92" t="str">
        <f>CONCATENATE(" )", Source!DL178, Source!FT178, "=", Source!FX178)</f>
        <v xml:space="preserve"> )*0,9*0,7=66,15</v>
      </c>
      <c r="H610" s="90"/>
      <c r="I610" s="33">
        <f>SUM(S605:S613)</f>
        <v>5</v>
      </c>
      <c r="J610" s="35"/>
      <c r="K610" s="25">
        <f>Source!AT178</f>
        <v>66</v>
      </c>
      <c r="L610" s="33">
        <f>SUM(T605:T613)</f>
        <v>113</v>
      </c>
      <c r="M610" s="34"/>
    </row>
    <row r="611" spans="1:28" ht="14.4">
      <c r="A611" s="27"/>
      <c r="B611" s="27"/>
      <c r="C611" s="28"/>
      <c r="D611" s="25" t="s">
        <v>966</v>
      </c>
      <c r="E611" s="30" t="s">
        <v>965</v>
      </c>
      <c r="F611" s="10">
        <f>Source!CA178</f>
        <v>55</v>
      </c>
      <c r="G611" s="92" t="str">
        <f>CONCATENATE(" )", Source!DM178, Source!FU178, "=", Source!FY178)</f>
        <v xml:space="preserve"> )*0,85*0,9=42,075</v>
      </c>
      <c r="H611" s="90"/>
      <c r="I611" s="33">
        <f>SUM(U605:U613)</f>
        <v>3</v>
      </c>
      <c r="J611" s="35"/>
      <c r="K611" s="25">
        <f>Source!AU178</f>
        <v>42</v>
      </c>
      <c r="L611" s="33">
        <f>SUM(V605:V613)</f>
        <v>72</v>
      </c>
      <c r="M611" s="34"/>
    </row>
    <row r="612" spans="1:28" ht="14.4">
      <c r="A612" s="27"/>
      <c r="B612" s="27"/>
      <c r="C612" s="28"/>
      <c r="D612" s="25" t="s">
        <v>967</v>
      </c>
      <c r="E612" s="30" t="s">
        <v>968</v>
      </c>
      <c r="F612" s="10">
        <f>Source!AQ178</f>
        <v>166.47</v>
      </c>
      <c r="G612" s="32"/>
      <c r="H612" s="31" t="str">
        <f>Source!DI178</f>
        <v>)*1,15</v>
      </c>
      <c r="I612" s="33"/>
      <c r="J612" s="31"/>
      <c r="K612" s="31"/>
      <c r="L612" s="33"/>
      <c r="M612" s="36">
        <f>Source!U178</f>
        <v>0.95720249999999996</v>
      </c>
    </row>
    <row r="613" spans="1:28" ht="28.8">
      <c r="A613" s="53">
        <v>79</v>
      </c>
      <c r="B613" s="53" t="str">
        <f>Source!E179</f>
        <v>73,1</v>
      </c>
      <c r="C613" s="53" t="str">
        <f>Source!F179</f>
        <v>101-1862</v>
      </c>
      <c r="D613" s="53" t="str">
        <f>Source!G179</f>
        <v>Пластик бумажно-слоистый 2 с декоративной стороной</v>
      </c>
      <c r="E613" s="54" t="str">
        <f>Source!H179</f>
        <v>1000 м2</v>
      </c>
      <c r="F613" s="55">
        <f>Source!I179</f>
        <v>-5.2499999999999997E-4</v>
      </c>
      <c r="G613" s="56">
        <f>Source!AK179</f>
        <v>113054</v>
      </c>
      <c r="H613" s="57" t="s">
        <v>3</v>
      </c>
      <c r="I613" s="58">
        <f>ROUND(Source!AC179*Source!I179, 0)+ROUND(Source!AD179*Source!I179, 0)+ROUND(Source!AF179*Source!I179, 0)</f>
        <v>-59</v>
      </c>
      <c r="J613" s="54"/>
      <c r="K613" s="54">
        <f>IF(Source!BC179&lt;&gt; 0, Source!BC179, 1)</f>
        <v>1.72</v>
      </c>
      <c r="L613" s="58">
        <f>Source!O179</f>
        <v>-102</v>
      </c>
      <c r="M613" s="56"/>
      <c r="S613">
        <f>ROUND((Source!FX179/100)*((ROUND(Source!AF179*Source!I179, 0)+ROUND(Source!AE179*Source!I179, 0))), 0)</f>
        <v>0</v>
      </c>
      <c r="T613">
        <f>Source!X179</f>
        <v>0</v>
      </c>
      <c r="U613">
        <f>ROUND((Source!FY179/100)*((ROUND(Source!AF179*Source!I179, 0)+ROUND(Source!AE179*Source!I179, 0))), 0)</f>
        <v>0</v>
      </c>
      <c r="V613">
        <f>Source!Y179</f>
        <v>0</v>
      </c>
      <c r="Y613">
        <f>IF(Source!BI179=3,I613, 0)</f>
        <v>0</v>
      </c>
      <c r="AA613">
        <f>ROUND(Source!AC179*Source!I179, 0)+ROUND(Source!AD179*Source!I179, 0)+ROUND(Source!AF179*Source!I179, 0)</f>
        <v>-59</v>
      </c>
      <c r="AB613">
        <f>Source!O179</f>
        <v>-102</v>
      </c>
    </row>
    <row r="614" spans="1:28" ht="13.8">
      <c r="H614" s="93">
        <f>ROUND(Source!AC178*Source!I178, 0)+ROUND(Source!AF178*Source!I178, 0)+ROUND(Source!AD178*Source!I178, 0)+SUM(I610:I611)+SUM(AA613:AA613)</f>
        <v>19</v>
      </c>
      <c r="I614" s="93"/>
      <c r="K614" s="93">
        <f>Source!O178+SUM(L610:L611)+SUM(AB613:AB613)</f>
        <v>369</v>
      </c>
      <c r="L614" s="93"/>
      <c r="M614" s="38">
        <f>Source!U178</f>
        <v>0.95720249999999996</v>
      </c>
      <c r="O614" s="37">
        <f>H614</f>
        <v>19</v>
      </c>
      <c r="P614" s="37">
        <f>K614</f>
        <v>369</v>
      </c>
      <c r="Q614" s="48">
        <f>M614</f>
        <v>0.95720249999999996</v>
      </c>
      <c r="W614">
        <f>IF(Source!BI178&lt;=1,H614, 0)</f>
        <v>19</v>
      </c>
      <c r="X614">
        <f>IF(Source!BI178=2,H614, 0)</f>
        <v>0</v>
      </c>
      <c r="Y614">
        <f>IF(Source!BI178=3,H614, 0)</f>
        <v>0</v>
      </c>
      <c r="Z614">
        <f>IF(Source!BI178=4,H614, 0)</f>
        <v>0</v>
      </c>
    </row>
    <row r="615" spans="1:28" ht="14.4">
      <c r="A615" s="27">
        <v>80</v>
      </c>
      <c r="B615" s="27" t="str">
        <f>Source!E180</f>
        <v>74</v>
      </c>
      <c r="C615" s="28" t="str">
        <f>Source!F180</f>
        <v>Прайс</v>
      </c>
      <c r="D615" s="25" t="str">
        <f>Source!G180</f>
        <v>Дверной добор</v>
      </c>
      <c r="E615" s="30" t="str">
        <f>Source!H180</f>
        <v>м2</v>
      </c>
      <c r="F615" s="10">
        <f>Source!I180</f>
        <v>0.52500000000000002</v>
      </c>
      <c r="G615" s="32">
        <f>IF(Source!AK180&lt;&gt; 0, Source!AK180,Source!AL180 + Source!AM180 + Source!AO180)</f>
        <v>1900</v>
      </c>
      <c r="H615" s="31"/>
      <c r="I615" s="33"/>
      <c r="J615" s="31" t="str">
        <f>Source!BO180</f>
        <v/>
      </c>
      <c r="K615" s="31"/>
      <c r="L615" s="33"/>
      <c r="M615" s="34"/>
      <c r="S615">
        <f>ROUND((Source!FX180/100)*((ROUND(Source!AF180*Source!I180, 0)+ROUND(Source!AE180*Source!I180, 0))), 0)</f>
        <v>0</v>
      </c>
      <c r="T615">
        <f>Source!X180</f>
        <v>0</v>
      </c>
      <c r="U615">
        <f>ROUND((Source!FY180/100)*((ROUND(Source!AF180*Source!I180, 0)+ROUND(Source!AE180*Source!I180, 0))), 0)</f>
        <v>0</v>
      </c>
      <c r="V615">
        <f>Source!Y180</f>
        <v>0</v>
      </c>
    </row>
    <row r="616" spans="1:28" ht="14.4">
      <c r="A616" s="39"/>
      <c r="B616" s="39"/>
      <c r="C616" s="40"/>
      <c r="D616" s="41" t="s">
        <v>969</v>
      </c>
      <c r="E616" s="42"/>
      <c r="F616" s="43"/>
      <c r="G616" s="44">
        <f>Source!AL180</f>
        <v>1900</v>
      </c>
      <c r="H616" s="45" t="str">
        <f>Source!DD180</f>
        <v/>
      </c>
      <c r="I616" s="46">
        <f>ROUND(Source!AC180*Source!I180, 0)</f>
        <v>998</v>
      </c>
      <c r="J616" s="45"/>
      <c r="K616" s="45">
        <f>IF(Source!BC180&lt;&gt; 0, Source!BC180, 1)</f>
        <v>1</v>
      </c>
      <c r="L616" s="46">
        <f>Source!P180</f>
        <v>998</v>
      </c>
      <c r="M616" s="52"/>
    </row>
    <row r="617" spans="1:28" ht="13.8">
      <c r="H617" s="93">
        <f>ROUND(Source!AC180*Source!I180, 0)+ROUND(Source!AF180*Source!I180, 0)+ROUND(Source!AD180*Source!I180, 0)</f>
        <v>998</v>
      </c>
      <c r="I617" s="93"/>
      <c r="K617" s="93">
        <f>Source!O180</f>
        <v>998</v>
      </c>
      <c r="L617" s="93"/>
      <c r="M617" s="38">
        <f>Source!U180</f>
        <v>0</v>
      </c>
      <c r="O617" s="37">
        <f>H617</f>
        <v>998</v>
      </c>
      <c r="P617" s="37">
        <f>K617</f>
        <v>998</v>
      </c>
      <c r="Q617" s="48">
        <f>M617</f>
        <v>0</v>
      </c>
      <c r="W617">
        <f>IF(Source!BI180&lt;=1,H617, 0)</f>
        <v>998</v>
      </c>
      <c r="X617">
        <f>IF(Source!BI180=2,H617, 0)</f>
        <v>0</v>
      </c>
      <c r="Y617">
        <f>IF(Source!BI180=3,H617, 0)</f>
        <v>0</v>
      </c>
      <c r="Z617">
        <f>IF(Source!BI180=4,H617, 0)</f>
        <v>0</v>
      </c>
    </row>
    <row r="618" spans="1:28" ht="55.8">
      <c r="A618" s="27">
        <v>81</v>
      </c>
      <c r="B618" s="27" t="str">
        <f>Source!E181</f>
        <v>75</v>
      </c>
      <c r="C618" s="28" t="str">
        <f>Source!F181</f>
        <v>15-01-050-4</v>
      </c>
      <c r="D618" s="25" t="str">
        <f>Source!G181</f>
        <v>Облицовка оконных и дверных откосов декоративным бумажно-слоистым пластиком или листами из синтетических материалов на клее</v>
      </c>
      <c r="E618" s="30" t="str">
        <f>Source!H181</f>
        <v>100 М2 ОБЛИЦОВКИ</v>
      </c>
      <c r="F618" s="10">
        <f>Source!I181</f>
        <v>3.1199999999999999E-2</v>
      </c>
      <c r="G618" s="32">
        <f>IF(Source!AK181&lt;&gt; 0, Source!AK181,Source!AL181 + Source!AM181 + Source!AO181)</f>
        <v>13886.37</v>
      </c>
      <c r="H618" s="31"/>
      <c r="I618" s="33"/>
      <c r="J618" s="31" t="str">
        <f>Source!BO181</f>
        <v>15-01-050-4</v>
      </c>
      <c r="K618" s="31"/>
      <c r="L618" s="33"/>
      <c r="M618" s="34"/>
      <c r="S618">
        <f>ROUND((Source!FX181/100)*((ROUND(Source!AF181*Source!I181, 0)+ROUND(Source!AE181*Source!I181, 0))), 0)</f>
        <v>34</v>
      </c>
      <c r="T618">
        <f>Source!X181</f>
        <v>707</v>
      </c>
      <c r="U618">
        <f>ROUND((Source!FY181/100)*((ROUND(Source!AF181*Source!I181, 0)+ROUND(Source!AE181*Source!I181, 0))), 0)</f>
        <v>21</v>
      </c>
      <c r="V618">
        <f>Source!Y181</f>
        <v>450</v>
      </c>
    </row>
    <row r="619" spans="1:28">
      <c r="D619" s="49" t="str">
        <f>"Объем: "&amp;Source!I181&amp;"=3,12/"&amp;"100"</f>
        <v>Объем: 0,0312=3,12/100</v>
      </c>
    </row>
    <row r="620" spans="1:28" ht="14.4">
      <c r="A620" s="27"/>
      <c r="B620" s="27"/>
      <c r="C620" s="28"/>
      <c r="D620" s="25" t="s">
        <v>962</v>
      </c>
      <c r="E620" s="30"/>
      <c r="F620" s="10"/>
      <c r="G620" s="32">
        <f>Source!AO181</f>
        <v>1428.31</v>
      </c>
      <c r="H620" s="31" t="str">
        <f>Source!DG181</f>
        <v>)*1,15</v>
      </c>
      <c r="I620" s="33">
        <f>ROUND(Source!AF181*Source!I181, 0)</f>
        <v>51</v>
      </c>
      <c r="J620" s="31"/>
      <c r="K620" s="31">
        <f>IF(Source!BA181&lt;&gt; 0, Source!BA181, 1)</f>
        <v>20.88</v>
      </c>
      <c r="L620" s="33">
        <f>Source!S181</f>
        <v>1070</v>
      </c>
      <c r="M620" s="34"/>
      <c r="R620">
        <f>I620</f>
        <v>51</v>
      </c>
    </row>
    <row r="621" spans="1:28" ht="14.4">
      <c r="A621" s="27"/>
      <c r="B621" s="27"/>
      <c r="C621" s="28"/>
      <c r="D621" s="25" t="s">
        <v>125</v>
      </c>
      <c r="E621" s="30"/>
      <c r="F621" s="10"/>
      <c r="G621" s="32">
        <f>Source!AM181</f>
        <v>48.7</v>
      </c>
      <c r="H621" s="31" t="str">
        <f>Source!DE181</f>
        <v>)*1,25</v>
      </c>
      <c r="I621" s="33">
        <f>ROUND(Source!AD181*Source!I181, 0)</f>
        <v>2</v>
      </c>
      <c r="J621" s="31"/>
      <c r="K621" s="31">
        <f>IF(Source!BB181&lt;&gt; 0, Source!BB181, 1)</f>
        <v>9.23</v>
      </c>
      <c r="L621" s="33">
        <f>Source!Q181</f>
        <v>18</v>
      </c>
      <c r="M621" s="34"/>
    </row>
    <row r="622" spans="1:28" ht="14.4">
      <c r="A622" s="27"/>
      <c r="B622" s="27"/>
      <c r="C622" s="28"/>
      <c r="D622" s="25" t="s">
        <v>963</v>
      </c>
      <c r="E622" s="30"/>
      <c r="F622" s="10"/>
      <c r="G622" s="32">
        <f>Source!AN181</f>
        <v>0.97</v>
      </c>
      <c r="H622" s="31" t="str">
        <f>Source!DF181</f>
        <v>)*1,25</v>
      </c>
      <c r="I622" s="33">
        <f>ROUND(Source!AE181*Source!I181, 0)</f>
        <v>0</v>
      </c>
      <c r="J622" s="31"/>
      <c r="K622" s="31">
        <f>IF(Source!BS181&lt;&gt; 0, Source!BS181, 1)</f>
        <v>20.88</v>
      </c>
      <c r="L622" s="33">
        <f>Source!R181</f>
        <v>1</v>
      </c>
      <c r="M622" s="34"/>
      <c r="R622">
        <f>I622</f>
        <v>0</v>
      </c>
    </row>
    <row r="623" spans="1:28" ht="14.4">
      <c r="A623" s="27"/>
      <c r="B623" s="27"/>
      <c r="C623" s="28"/>
      <c r="D623" s="25" t="s">
        <v>969</v>
      </c>
      <c r="E623" s="30"/>
      <c r="F623" s="10"/>
      <c r="G623" s="32">
        <f>Source!AL181</f>
        <v>12409.36</v>
      </c>
      <c r="H623" s="31" t="str">
        <f>Source!DD181</f>
        <v/>
      </c>
      <c r="I623" s="33">
        <f>ROUND(Source!AC181*Source!I181, 0)</f>
        <v>387</v>
      </c>
      <c r="J623" s="31"/>
      <c r="K623" s="31">
        <f>IF(Source!BC181&lt;&gt; 0, Source!BC181, 1)</f>
        <v>1.8</v>
      </c>
      <c r="L623" s="33">
        <f>Source!P181</f>
        <v>697</v>
      </c>
      <c r="M623" s="34"/>
    </row>
    <row r="624" spans="1:28" ht="14.4">
      <c r="A624" s="27"/>
      <c r="B624" s="27"/>
      <c r="C624" s="28"/>
      <c r="D624" s="25" t="s">
        <v>964</v>
      </c>
      <c r="E624" s="30" t="s">
        <v>965</v>
      </c>
      <c r="F624" s="10">
        <f>Source!BZ181</f>
        <v>105</v>
      </c>
      <c r="G624" s="92" t="str">
        <f>CONCATENATE(" )", Source!DL181, Source!FT181, "=", Source!FX181)</f>
        <v xml:space="preserve"> )*0,9*0,7=66,15</v>
      </c>
      <c r="H624" s="90"/>
      <c r="I624" s="33">
        <f>SUM(S618:S627)</f>
        <v>34</v>
      </c>
      <c r="J624" s="35"/>
      <c r="K624" s="25">
        <f>Source!AT181</f>
        <v>66</v>
      </c>
      <c r="L624" s="33">
        <f>SUM(T618:T627)</f>
        <v>707</v>
      </c>
      <c r="M624" s="34"/>
    </row>
    <row r="625" spans="1:28" ht="14.4">
      <c r="A625" s="27"/>
      <c r="B625" s="27"/>
      <c r="C625" s="28"/>
      <c r="D625" s="25" t="s">
        <v>966</v>
      </c>
      <c r="E625" s="30" t="s">
        <v>965</v>
      </c>
      <c r="F625" s="10">
        <f>Source!CA181</f>
        <v>55</v>
      </c>
      <c r="G625" s="92" t="str">
        <f>CONCATENATE(" )", Source!DM181, Source!FU181, "=", Source!FY181)</f>
        <v xml:space="preserve"> )*0,85*0,9=42,075</v>
      </c>
      <c r="H625" s="90"/>
      <c r="I625" s="33">
        <f>SUM(U618:U627)</f>
        <v>21</v>
      </c>
      <c r="J625" s="35"/>
      <c r="K625" s="25">
        <f>Source!AU181</f>
        <v>42</v>
      </c>
      <c r="L625" s="33">
        <f>SUM(V618:V627)</f>
        <v>450</v>
      </c>
      <c r="M625" s="34"/>
    </row>
    <row r="626" spans="1:28" ht="14.4">
      <c r="A626" s="27"/>
      <c r="B626" s="27"/>
      <c r="C626" s="28"/>
      <c r="D626" s="25" t="s">
        <v>967</v>
      </c>
      <c r="E626" s="30" t="s">
        <v>968</v>
      </c>
      <c r="F626" s="10">
        <f>Source!AQ181</f>
        <v>166.47</v>
      </c>
      <c r="G626" s="32"/>
      <c r="H626" s="31" t="str">
        <f>Source!DI181</f>
        <v>)*1,15</v>
      </c>
      <c r="I626" s="33"/>
      <c r="J626" s="31"/>
      <c r="K626" s="31"/>
      <c r="L626" s="33"/>
      <c r="M626" s="36">
        <f>Source!U181</f>
        <v>5.9729435999999989</v>
      </c>
    </row>
    <row r="627" spans="1:28" ht="28.8">
      <c r="A627" s="53">
        <v>82</v>
      </c>
      <c r="B627" s="53" t="str">
        <f>Source!E182</f>
        <v>75,1</v>
      </c>
      <c r="C627" s="53" t="str">
        <f>Source!F182</f>
        <v>101-1862</v>
      </c>
      <c r="D627" s="53" t="str">
        <f>Source!G182</f>
        <v>Пластик бумажно-слоистый 2 с декоративной стороной</v>
      </c>
      <c r="E627" s="54" t="str">
        <f>Source!H182</f>
        <v>1000 м2</v>
      </c>
      <c r="F627" s="55">
        <f>Source!I182</f>
        <v>-3.2759999999999998E-3</v>
      </c>
      <c r="G627" s="56">
        <f>Source!AK182</f>
        <v>113054</v>
      </c>
      <c r="H627" s="57" t="s">
        <v>3</v>
      </c>
      <c r="I627" s="58">
        <f>ROUND(Source!AC182*Source!I182, 0)+ROUND(Source!AD182*Source!I182, 0)+ROUND(Source!AF182*Source!I182, 0)</f>
        <v>-370</v>
      </c>
      <c r="J627" s="54"/>
      <c r="K627" s="54">
        <f>IF(Source!BC182&lt;&gt; 0, Source!BC182, 1)</f>
        <v>1.72</v>
      </c>
      <c r="L627" s="58">
        <f>Source!O182</f>
        <v>-637</v>
      </c>
      <c r="M627" s="56"/>
      <c r="S627">
        <f>ROUND((Source!FX182/100)*((ROUND(Source!AF182*Source!I182, 0)+ROUND(Source!AE182*Source!I182, 0))), 0)</f>
        <v>0</v>
      </c>
      <c r="T627">
        <f>Source!X182</f>
        <v>0</v>
      </c>
      <c r="U627">
        <f>ROUND((Source!FY182/100)*((ROUND(Source!AF182*Source!I182, 0)+ROUND(Source!AE182*Source!I182, 0))), 0)</f>
        <v>0</v>
      </c>
      <c r="V627">
        <f>Source!Y182</f>
        <v>0</v>
      </c>
      <c r="Y627">
        <f>IF(Source!BI182=3,I627, 0)</f>
        <v>0</v>
      </c>
      <c r="AA627">
        <f>ROUND(Source!AC182*Source!I182, 0)+ROUND(Source!AD182*Source!I182, 0)+ROUND(Source!AF182*Source!I182, 0)</f>
        <v>-370</v>
      </c>
      <c r="AB627">
        <f>Source!O182</f>
        <v>-637</v>
      </c>
    </row>
    <row r="628" spans="1:28" ht="13.8">
      <c r="H628" s="93">
        <f>ROUND(Source!AC181*Source!I181, 0)+ROUND(Source!AF181*Source!I181, 0)+ROUND(Source!AD181*Source!I181, 0)+SUM(I624:I625)+SUM(AA627:AA627)</f>
        <v>125</v>
      </c>
      <c r="I628" s="93"/>
      <c r="K628" s="93">
        <f>Source!O181+SUM(L624:L625)+SUM(AB627:AB627)</f>
        <v>2305</v>
      </c>
      <c r="L628" s="93"/>
      <c r="M628" s="38">
        <f>Source!U181</f>
        <v>5.9729435999999989</v>
      </c>
      <c r="O628" s="37">
        <f>H628</f>
        <v>125</v>
      </c>
      <c r="P628" s="37">
        <f>K628</f>
        <v>2305</v>
      </c>
      <c r="Q628" s="48">
        <f>M628</f>
        <v>5.9729435999999989</v>
      </c>
      <c r="W628">
        <f>IF(Source!BI181&lt;=1,H628, 0)</f>
        <v>125</v>
      </c>
      <c r="X628">
        <f>IF(Source!BI181=2,H628, 0)</f>
        <v>0</v>
      </c>
      <c r="Y628">
        <f>IF(Source!BI181=3,H628, 0)</f>
        <v>0</v>
      </c>
      <c r="Z628">
        <f>IF(Source!BI181=4,H628, 0)</f>
        <v>0</v>
      </c>
    </row>
    <row r="629" spans="1:28" ht="69.599999999999994">
      <c r="A629" s="27">
        <v>83</v>
      </c>
      <c r="B629" s="27" t="str">
        <f>Source!E183</f>
        <v>76</v>
      </c>
      <c r="C629" s="28" t="str">
        <f>Source!F183</f>
        <v>101-6872</v>
      </c>
      <c r="D629" s="25" t="str">
        <f>Source!G183</f>
        <v>Сэндвич-панели для откосов (наружные слои – листы из поливинилхлорида, внутреннее наполнение – вспененный пенополистирол) белые, ширина 2 м, длина 3,0 м, толщина 10 мм</v>
      </c>
      <c r="E629" s="30" t="str">
        <f>Source!H183</f>
        <v>м2</v>
      </c>
      <c r="F629" s="10">
        <f>Source!I183</f>
        <v>3.12</v>
      </c>
      <c r="G629" s="32">
        <f>IF(Source!AK183&lt;&gt; 0, Source!AK183,Source!AL183 + Source!AM183 + Source!AO183)</f>
        <v>581.29999999999995</v>
      </c>
      <c r="H629" s="31"/>
      <c r="I629" s="33"/>
      <c r="J629" s="31" t="str">
        <f>Source!BO183</f>
        <v>101-6872</v>
      </c>
      <c r="K629" s="31"/>
      <c r="L629" s="33"/>
      <c r="M629" s="34"/>
      <c r="S629">
        <f>ROUND((Source!FX183/100)*((ROUND(Source!AF183*Source!I183, 0)+ROUND(Source!AE183*Source!I183, 0))), 0)</f>
        <v>0</v>
      </c>
      <c r="T629">
        <f>Source!X183</f>
        <v>0</v>
      </c>
      <c r="U629">
        <f>ROUND((Source!FY183/100)*((ROUND(Source!AF183*Source!I183, 0)+ROUND(Source!AE183*Source!I183, 0))), 0)</f>
        <v>0</v>
      </c>
      <c r="V629">
        <f>Source!Y183</f>
        <v>0</v>
      </c>
    </row>
    <row r="630" spans="1:28" ht="14.4">
      <c r="A630" s="39"/>
      <c r="B630" s="39"/>
      <c r="C630" s="40"/>
      <c r="D630" s="41" t="s">
        <v>969</v>
      </c>
      <c r="E630" s="42"/>
      <c r="F630" s="43"/>
      <c r="G630" s="44">
        <f>Source!AL183</f>
        <v>581.29999999999995</v>
      </c>
      <c r="H630" s="45" t="str">
        <f>Source!DD183</f>
        <v/>
      </c>
      <c r="I630" s="46">
        <f>ROUND(Source!AC183*Source!I183, 0)</f>
        <v>1814</v>
      </c>
      <c r="J630" s="45"/>
      <c r="K630" s="45">
        <f>IF(Source!BC183&lt;&gt; 0, Source!BC183, 1)</f>
        <v>0.63</v>
      </c>
      <c r="L630" s="46">
        <f>Source!P183</f>
        <v>1143</v>
      </c>
      <c r="M630" s="52"/>
    </row>
    <row r="631" spans="1:28" ht="13.8">
      <c r="H631" s="93">
        <f>ROUND(Source!AC183*Source!I183, 0)+ROUND(Source!AF183*Source!I183, 0)+ROUND(Source!AD183*Source!I183, 0)</f>
        <v>1814</v>
      </c>
      <c r="I631" s="93"/>
      <c r="K631" s="93">
        <f>Source!O183</f>
        <v>1143</v>
      </c>
      <c r="L631" s="93"/>
      <c r="M631" s="38">
        <f>Source!U183</f>
        <v>0</v>
      </c>
      <c r="O631" s="37">
        <f>H631</f>
        <v>1814</v>
      </c>
      <c r="P631" s="37">
        <f>K631</f>
        <v>1143</v>
      </c>
      <c r="Q631" s="48">
        <f>M631</f>
        <v>0</v>
      </c>
      <c r="W631">
        <f>IF(Source!BI183&lt;=1,H631, 0)</f>
        <v>1814</v>
      </c>
      <c r="X631">
        <f>IF(Source!BI183=2,H631, 0)</f>
        <v>0</v>
      </c>
      <c r="Y631">
        <f>IF(Source!BI183=3,H631, 0)</f>
        <v>0</v>
      </c>
      <c r="Z631">
        <f>IF(Source!BI183=4,H631, 0)</f>
        <v>0</v>
      </c>
    </row>
    <row r="632" spans="1:28" ht="86.4">
      <c r="A632" s="27">
        <v>84</v>
      </c>
      <c r="B632" s="27" t="str">
        <f>Source!E184</f>
        <v>77</v>
      </c>
      <c r="C632" s="28" t="str">
        <f>Source!F184</f>
        <v>53-25-1</v>
      </c>
      <c r="D632" s="25" t="str">
        <f>Source!G184</f>
        <v>Устройство металлических перемычек в стенах существующих зданий</v>
      </c>
      <c r="E632" s="30" t="str">
        <f>Source!H184</f>
        <v>1 Т МЕТАЛЛОКОНСТРУКЦИЙ ПЕРЕМЫЧЕК</v>
      </c>
      <c r="F632" s="10">
        <f>Source!I184</f>
        <v>1.9599999999999999E-2</v>
      </c>
      <c r="G632" s="32">
        <f>IF(Source!AK184&lt;&gt; 0, Source!AK184,Source!AL184 + Source!AM184 + Source!AO184)</f>
        <v>10554.59</v>
      </c>
      <c r="H632" s="31"/>
      <c r="I632" s="33"/>
      <c r="J632" s="31" t="str">
        <f>Source!BO184</f>
        <v>53-25-1</v>
      </c>
      <c r="K632" s="31"/>
      <c r="L632" s="33"/>
      <c r="M632" s="34"/>
      <c r="S632">
        <f>ROUND((Source!FX184/100)*((ROUND(Source!AF184*Source!I184, 0)+ROUND(Source!AE184*Source!I184, 0))), 0)</f>
        <v>16</v>
      </c>
      <c r="T632">
        <f>Source!X184</f>
        <v>330</v>
      </c>
      <c r="U632">
        <f>ROUND((Source!FY184/100)*((ROUND(Source!AF184*Source!I184, 0)+ROUND(Source!AE184*Source!I184, 0))), 0)</f>
        <v>16</v>
      </c>
      <c r="V632">
        <f>Source!Y184</f>
        <v>347</v>
      </c>
    </row>
    <row r="633" spans="1:28" ht="14.4">
      <c r="A633" s="27"/>
      <c r="B633" s="27"/>
      <c r="C633" s="28"/>
      <c r="D633" s="25" t="s">
        <v>962</v>
      </c>
      <c r="E633" s="30"/>
      <c r="F633" s="10"/>
      <c r="G633" s="32">
        <f>Source!AO184</f>
        <v>1338.65</v>
      </c>
      <c r="H633" s="31" t="str">
        <f>Source!DG184</f>
        <v/>
      </c>
      <c r="I633" s="33">
        <f>ROUND(Source!AF184*Source!I184, 0)</f>
        <v>26</v>
      </c>
      <c r="J633" s="31"/>
      <c r="K633" s="31">
        <f>IF(Source!BA184&lt;&gt; 0, Source!BA184, 1)</f>
        <v>20.88</v>
      </c>
      <c r="L633" s="33">
        <f>Source!S184</f>
        <v>548</v>
      </c>
      <c r="M633" s="34"/>
      <c r="R633">
        <f>I633</f>
        <v>26</v>
      </c>
    </row>
    <row r="634" spans="1:28" ht="14.4">
      <c r="A634" s="27"/>
      <c r="B634" s="27"/>
      <c r="C634" s="28"/>
      <c r="D634" s="25" t="s">
        <v>125</v>
      </c>
      <c r="E634" s="30"/>
      <c r="F634" s="10"/>
      <c r="G634" s="32">
        <f>Source!AM184</f>
        <v>53.7</v>
      </c>
      <c r="H634" s="31" t="str">
        <f>Source!DE184</f>
        <v/>
      </c>
      <c r="I634" s="33">
        <f>ROUND(Source!AD184*Source!I184, 0)</f>
        <v>1</v>
      </c>
      <c r="J634" s="31"/>
      <c r="K634" s="31">
        <f>IF(Source!BB184&lt;&gt; 0, Source!BB184, 1)</f>
        <v>9.09</v>
      </c>
      <c r="L634" s="33">
        <f>Source!Q184</f>
        <v>10</v>
      </c>
      <c r="M634" s="34"/>
    </row>
    <row r="635" spans="1:28" ht="14.4">
      <c r="A635" s="27"/>
      <c r="B635" s="27"/>
      <c r="C635" s="28"/>
      <c r="D635" s="25" t="s">
        <v>963</v>
      </c>
      <c r="E635" s="30"/>
      <c r="F635" s="10"/>
      <c r="G635" s="32">
        <f>Source!AN184</f>
        <v>4.2300000000000004</v>
      </c>
      <c r="H635" s="31" t="str">
        <f>Source!DF184</f>
        <v/>
      </c>
      <c r="I635" s="33">
        <f>ROUND(Source!AE184*Source!I184, 0)</f>
        <v>0</v>
      </c>
      <c r="J635" s="31"/>
      <c r="K635" s="31">
        <f>IF(Source!BS184&lt;&gt; 0, Source!BS184, 1)</f>
        <v>20.88</v>
      </c>
      <c r="L635" s="33">
        <f>Source!R184</f>
        <v>2</v>
      </c>
      <c r="M635" s="34"/>
      <c r="R635">
        <f>I635</f>
        <v>0</v>
      </c>
    </row>
    <row r="636" spans="1:28" ht="14.4">
      <c r="A636" s="27"/>
      <c r="B636" s="27"/>
      <c r="C636" s="28"/>
      <c r="D636" s="25" t="s">
        <v>969</v>
      </c>
      <c r="E636" s="30"/>
      <c r="F636" s="10"/>
      <c r="G636" s="32">
        <f>Source!AL184</f>
        <v>9162.24</v>
      </c>
      <c r="H636" s="31" t="str">
        <f>Source!DD184</f>
        <v/>
      </c>
      <c r="I636" s="33">
        <f>ROUND(Source!AC184*Source!I184, 0)</f>
        <v>180</v>
      </c>
      <c r="J636" s="31"/>
      <c r="K636" s="31">
        <f>IF(Source!BC184&lt;&gt; 0, Source!BC184, 1)</f>
        <v>8.4700000000000006</v>
      </c>
      <c r="L636" s="33">
        <f>Source!P184</f>
        <v>1521</v>
      </c>
      <c r="M636" s="34"/>
    </row>
    <row r="637" spans="1:28" ht="14.4">
      <c r="A637" s="27"/>
      <c r="B637" s="27"/>
      <c r="C637" s="28"/>
      <c r="D637" s="25" t="s">
        <v>964</v>
      </c>
      <c r="E637" s="30" t="s">
        <v>965</v>
      </c>
      <c r="F637" s="10">
        <f>Source!BZ184</f>
        <v>86</v>
      </c>
      <c r="G637" s="92" t="str">
        <f>CONCATENATE(" )", Source!DL184, Source!FT184, "=", Source!FX184)</f>
        <v xml:space="preserve"> )*0,7=60,2</v>
      </c>
      <c r="H637" s="90"/>
      <c r="I637" s="33">
        <f>SUM(S632:S639)</f>
        <v>16</v>
      </c>
      <c r="J637" s="35"/>
      <c r="K637" s="25">
        <f>Source!AT184</f>
        <v>60</v>
      </c>
      <c r="L637" s="33">
        <f>SUM(T632:T639)</f>
        <v>330</v>
      </c>
      <c r="M637" s="34"/>
    </row>
    <row r="638" spans="1:28" ht="14.4">
      <c r="A638" s="27"/>
      <c r="B638" s="27"/>
      <c r="C638" s="28"/>
      <c r="D638" s="25" t="s">
        <v>966</v>
      </c>
      <c r="E638" s="30" t="s">
        <v>965</v>
      </c>
      <c r="F638" s="10">
        <f>Source!CA184</f>
        <v>70</v>
      </c>
      <c r="G638" s="92" t="str">
        <f>CONCATENATE(" )", Source!DM184, Source!FU184, "=", Source!FY184)</f>
        <v xml:space="preserve"> )*0,9=63</v>
      </c>
      <c r="H638" s="90"/>
      <c r="I638" s="33">
        <f>SUM(U632:U639)</f>
        <v>16</v>
      </c>
      <c r="J638" s="35"/>
      <c r="K638" s="25">
        <f>Source!AU184</f>
        <v>63</v>
      </c>
      <c r="L638" s="33">
        <f>SUM(V632:V639)</f>
        <v>347</v>
      </c>
      <c r="M638" s="34"/>
    </row>
    <row r="639" spans="1:28" ht="14.4">
      <c r="A639" s="39"/>
      <c r="B639" s="39"/>
      <c r="C639" s="40"/>
      <c r="D639" s="41" t="s">
        <v>967</v>
      </c>
      <c r="E639" s="42" t="s">
        <v>968</v>
      </c>
      <c r="F639" s="43">
        <f>Source!AQ184</f>
        <v>165.88</v>
      </c>
      <c r="G639" s="44"/>
      <c r="H639" s="45" t="str">
        <f>Source!DI184</f>
        <v/>
      </c>
      <c r="I639" s="46"/>
      <c r="J639" s="45"/>
      <c r="K639" s="45"/>
      <c r="L639" s="46"/>
      <c r="M639" s="47">
        <f>Source!U184</f>
        <v>3.2512479999999999</v>
      </c>
    </row>
    <row r="640" spans="1:28" ht="13.8">
      <c r="H640" s="93">
        <f>ROUND(Source!AC184*Source!I184, 0)+ROUND(Source!AF184*Source!I184, 0)+ROUND(Source!AD184*Source!I184, 0)+SUM(I637:I638)</f>
        <v>239</v>
      </c>
      <c r="I640" s="93"/>
      <c r="K640" s="93">
        <f>Source!O184+SUM(L637:L638)</f>
        <v>2756</v>
      </c>
      <c r="L640" s="93"/>
      <c r="M640" s="38">
        <f>Source!U184</f>
        <v>3.2512479999999999</v>
      </c>
      <c r="O640" s="37">
        <f>H640</f>
        <v>239</v>
      </c>
      <c r="P640" s="37">
        <f>K640</f>
        <v>2756</v>
      </c>
      <c r="Q640" s="48">
        <f>M640</f>
        <v>3.2512479999999999</v>
      </c>
      <c r="W640">
        <f>IF(Source!BI184&lt;=1,H640, 0)</f>
        <v>239</v>
      </c>
      <c r="X640">
        <f>IF(Source!BI184=2,H640, 0)</f>
        <v>0</v>
      </c>
      <c r="Y640">
        <f>IF(Source!BI184=3,H640, 0)</f>
        <v>0</v>
      </c>
      <c r="Z640">
        <f>IF(Source!BI184=4,H640, 0)</f>
        <v>0</v>
      </c>
    </row>
    <row r="641" spans="1:26" ht="55.8">
      <c r="A641" s="27">
        <v>85</v>
      </c>
      <c r="B641" s="27" t="str">
        <f>Source!E185</f>
        <v>78</v>
      </c>
      <c r="C641" s="28" t="str">
        <f>Source!F185</f>
        <v>46-02-007-1</v>
      </c>
      <c r="D641" s="25" t="str">
        <f>Source!G185</f>
        <v>Кладка отдельных участков кирпичных стен и заделка проемов в кирпичных стенах при объеме кладки в одном месте до 5 м3</v>
      </c>
      <c r="E641" s="30" t="str">
        <f>Source!H185</f>
        <v>1 м3</v>
      </c>
      <c r="F641" s="10">
        <f>Source!I185</f>
        <v>0.3</v>
      </c>
      <c r="G641" s="32">
        <f>IF(Source!AK185&lt;&gt; 0, Source!AK185,Source!AL185 + Source!AM185 + Source!AO185)</f>
        <v>507.76</v>
      </c>
      <c r="H641" s="31"/>
      <c r="I641" s="33"/>
      <c r="J641" s="31" t="str">
        <f>Source!BO185</f>
        <v>46-02-007-1</v>
      </c>
      <c r="K641" s="31"/>
      <c r="L641" s="33"/>
      <c r="M641" s="34"/>
      <c r="S641">
        <f>ROUND((Source!FX185/100)*((ROUND(Source!AF185*Source!I185, 0)+ROUND(Source!AE185*Source!I185, 0))), 0)</f>
        <v>23</v>
      </c>
      <c r="T641">
        <f>Source!X185</f>
        <v>482</v>
      </c>
      <c r="U641">
        <f>ROUND((Source!FY185/100)*((ROUND(Source!AF185*Source!I185, 0)+ROUND(Source!AE185*Source!I185, 0))), 0)</f>
        <v>18</v>
      </c>
      <c r="V641">
        <f>Source!Y185</f>
        <v>377</v>
      </c>
    </row>
    <row r="642" spans="1:26" ht="14.4">
      <c r="A642" s="27"/>
      <c r="B642" s="27"/>
      <c r="C642" s="28"/>
      <c r="D642" s="25" t="s">
        <v>962</v>
      </c>
      <c r="E642" s="30"/>
      <c r="F642" s="10"/>
      <c r="G642" s="32">
        <f>Source!AO185</f>
        <v>111.63</v>
      </c>
      <c r="H642" s="31" t="str">
        <f>Source!DG185</f>
        <v/>
      </c>
      <c r="I642" s="33">
        <f>ROUND(Source!AF185*Source!I185, 0)</f>
        <v>33</v>
      </c>
      <c r="J642" s="31"/>
      <c r="K642" s="31">
        <f>IF(Source!BA185&lt;&gt; 0, Source!BA185, 1)</f>
        <v>20.88</v>
      </c>
      <c r="L642" s="33">
        <f>Source!S185</f>
        <v>699</v>
      </c>
      <c r="M642" s="34"/>
      <c r="R642">
        <f>I642</f>
        <v>33</v>
      </c>
    </row>
    <row r="643" spans="1:26" ht="14.4">
      <c r="A643" s="27"/>
      <c r="B643" s="27"/>
      <c r="C643" s="28"/>
      <c r="D643" s="25" t="s">
        <v>125</v>
      </c>
      <c r="E643" s="30"/>
      <c r="F643" s="10"/>
      <c r="G643" s="32">
        <f>Source!AM185</f>
        <v>2.21</v>
      </c>
      <c r="H643" s="31" t="str">
        <f>Source!DE185</f>
        <v/>
      </c>
      <c r="I643" s="33">
        <f>ROUND(Source!AD185*Source!I185, 0)</f>
        <v>1</v>
      </c>
      <c r="J643" s="31"/>
      <c r="K643" s="31">
        <f>IF(Source!BB185&lt;&gt; 0, Source!BB185, 1)</f>
        <v>4.05</v>
      </c>
      <c r="L643" s="33">
        <f>Source!Q185</f>
        <v>3</v>
      </c>
      <c r="M643" s="34"/>
    </row>
    <row r="644" spans="1:26" ht="14.4">
      <c r="A644" s="27"/>
      <c r="B644" s="27"/>
      <c r="C644" s="28"/>
      <c r="D644" s="25" t="s">
        <v>969</v>
      </c>
      <c r="E644" s="30"/>
      <c r="F644" s="10"/>
      <c r="G644" s="32">
        <f>Source!AL185</f>
        <v>393.92</v>
      </c>
      <c r="H644" s="31" t="str">
        <f>Source!DD185</f>
        <v/>
      </c>
      <c r="I644" s="33">
        <f>ROUND(Source!AC185*Source!I185, 0)</f>
        <v>118</v>
      </c>
      <c r="J644" s="31"/>
      <c r="K644" s="31">
        <f>IF(Source!BC185&lt;&gt; 0, Source!BC185, 1)</f>
        <v>11.86</v>
      </c>
      <c r="L644" s="33">
        <f>Source!P185</f>
        <v>1402</v>
      </c>
      <c r="M644" s="34"/>
    </row>
    <row r="645" spans="1:26" ht="14.4">
      <c r="A645" s="27"/>
      <c r="B645" s="27"/>
      <c r="C645" s="28"/>
      <c r="D645" s="25" t="s">
        <v>964</v>
      </c>
      <c r="E645" s="30" t="s">
        <v>965</v>
      </c>
      <c r="F645" s="10">
        <f>Source!BZ185</f>
        <v>110</v>
      </c>
      <c r="G645" s="92" t="str">
        <f>CONCATENATE(" )", Source!DL185, Source!FT185, "=", Source!FX185)</f>
        <v xml:space="preserve"> )*0,9*0,7=69,3</v>
      </c>
      <c r="H645" s="90"/>
      <c r="I645" s="33">
        <f>SUM(S641:S647)</f>
        <v>23</v>
      </c>
      <c r="J645" s="35"/>
      <c r="K645" s="25">
        <f>Source!AT185</f>
        <v>69</v>
      </c>
      <c r="L645" s="33">
        <f>SUM(T641:T647)</f>
        <v>482</v>
      </c>
      <c r="M645" s="34"/>
    </row>
    <row r="646" spans="1:26" ht="14.4">
      <c r="A646" s="27"/>
      <c r="B646" s="27"/>
      <c r="C646" s="28"/>
      <c r="D646" s="25" t="s">
        <v>966</v>
      </c>
      <c r="E646" s="30" t="s">
        <v>965</v>
      </c>
      <c r="F646" s="10">
        <f>Source!CA185</f>
        <v>70</v>
      </c>
      <c r="G646" s="92" t="str">
        <f>CONCATENATE(" )", Source!DM185, Source!FU185, "=", Source!FY185)</f>
        <v xml:space="preserve"> )*0,85*0,9=53,55</v>
      </c>
      <c r="H646" s="90"/>
      <c r="I646" s="33">
        <f>SUM(U641:U647)</f>
        <v>18</v>
      </c>
      <c r="J646" s="35"/>
      <c r="K646" s="25">
        <f>Source!AU185</f>
        <v>54</v>
      </c>
      <c r="L646" s="33">
        <f>SUM(V641:V647)</f>
        <v>377</v>
      </c>
      <c r="M646" s="34"/>
    </row>
    <row r="647" spans="1:26" ht="14.4">
      <c r="A647" s="39"/>
      <c r="B647" s="39"/>
      <c r="C647" s="40"/>
      <c r="D647" s="41" t="s">
        <v>967</v>
      </c>
      <c r="E647" s="42" t="s">
        <v>968</v>
      </c>
      <c r="F647" s="43">
        <f>Source!AQ185</f>
        <v>14.63</v>
      </c>
      <c r="G647" s="44"/>
      <c r="H647" s="45" t="str">
        <f>Source!DI185</f>
        <v/>
      </c>
      <c r="I647" s="46"/>
      <c r="J647" s="45"/>
      <c r="K647" s="45"/>
      <c r="L647" s="46"/>
      <c r="M647" s="47">
        <f>Source!U185</f>
        <v>4.3890000000000002</v>
      </c>
    </row>
    <row r="648" spans="1:26" ht="13.8">
      <c r="H648" s="93">
        <f>ROUND(Source!AC185*Source!I185, 0)+ROUND(Source!AF185*Source!I185, 0)+ROUND(Source!AD185*Source!I185, 0)+SUM(I645:I646)</f>
        <v>193</v>
      </c>
      <c r="I648" s="93"/>
      <c r="K648" s="93">
        <f>Source!O185+SUM(L645:L646)</f>
        <v>2963</v>
      </c>
      <c r="L648" s="93"/>
      <c r="M648" s="38">
        <f>Source!U185</f>
        <v>4.3890000000000002</v>
      </c>
      <c r="O648" s="37">
        <f>H648</f>
        <v>193</v>
      </c>
      <c r="P648" s="37">
        <f>K648</f>
        <v>2963</v>
      </c>
      <c r="Q648" s="48">
        <f>M648</f>
        <v>4.3890000000000002</v>
      </c>
      <c r="W648">
        <f>IF(Source!BI185&lt;=1,H648, 0)</f>
        <v>193</v>
      </c>
      <c r="X648">
        <f>IF(Source!BI185=2,H648, 0)</f>
        <v>0</v>
      </c>
      <c r="Y648">
        <f>IF(Source!BI185=3,H648, 0)</f>
        <v>0</v>
      </c>
      <c r="Z648">
        <f>IF(Source!BI185=4,H648, 0)</f>
        <v>0</v>
      </c>
    </row>
    <row r="649" spans="1:26" ht="86.4">
      <c r="A649" s="27">
        <v>86</v>
      </c>
      <c r="B649" s="27" t="str">
        <f>Source!E186</f>
        <v>79</v>
      </c>
      <c r="C649" s="28" t="str">
        <f>Source!F186</f>
        <v>15-02-016-3</v>
      </c>
      <c r="D649" s="25" t="str">
        <f>Source!G186</f>
        <v>Штукатурка поверхностей внутри здания цементно-известковым или цементным раствором по камню и бетону улучшенная стен</v>
      </c>
      <c r="E649" s="30" t="str">
        <f>Source!H186</f>
        <v>100 м2 оштукатуриваемой поверхности</v>
      </c>
      <c r="F649" s="10">
        <f>Source!I186</f>
        <v>6.0000000000000001E-3</v>
      </c>
      <c r="G649" s="32">
        <f>IF(Source!AK186&lt;&gt; 0, Source!AK186,Source!AL186 + Source!AM186 + Source!AO186)</f>
        <v>1769.98</v>
      </c>
      <c r="H649" s="31"/>
      <c r="I649" s="33"/>
      <c r="J649" s="31" t="str">
        <f>Source!BO186</f>
        <v>15-02-016-3</v>
      </c>
      <c r="K649" s="31"/>
      <c r="L649" s="33"/>
      <c r="M649" s="34"/>
      <c r="S649">
        <f>ROUND((Source!FX186/100)*((ROUND(Source!AF186*Source!I186, 0)+ROUND(Source!AE186*Source!I186, 0))), 0)</f>
        <v>3</v>
      </c>
      <c r="T649">
        <f>Source!X186</f>
        <v>77</v>
      </c>
      <c r="U649">
        <f>ROUND((Source!FY186/100)*((ROUND(Source!AF186*Source!I186, 0)+ROUND(Source!AE186*Source!I186, 0))), 0)</f>
        <v>2</v>
      </c>
      <c r="V649">
        <f>Source!Y186</f>
        <v>49</v>
      </c>
    </row>
    <row r="650" spans="1:26">
      <c r="D650" s="49" t="str">
        <f>"Объем: "&amp;Source!I186&amp;"=0,6/"&amp;"100"</f>
        <v>Объем: 0,006=0,6/100</v>
      </c>
    </row>
    <row r="651" spans="1:26" ht="14.4">
      <c r="A651" s="27"/>
      <c r="B651" s="27"/>
      <c r="C651" s="28"/>
      <c r="D651" s="25" t="s">
        <v>962</v>
      </c>
      <c r="E651" s="30"/>
      <c r="F651" s="10"/>
      <c r="G651" s="32">
        <f>Source!AO186</f>
        <v>754.53</v>
      </c>
      <c r="H651" s="31" t="str">
        <f>Source!DG186</f>
        <v>)*1,15</v>
      </c>
      <c r="I651" s="33">
        <f>ROUND(Source!AF186*Source!I186, 0)</f>
        <v>5</v>
      </c>
      <c r="J651" s="31"/>
      <c r="K651" s="31">
        <f>IF(Source!BA186&lt;&gt; 0, Source!BA186, 1)</f>
        <v>20.88</v>
      </c>
      <c r="L651" s="33">
        <f>Source!S186</f>
        <v>109</v>
      </c>
      <c r="M651" s="34"/>
      <c r="R651">
        <f>I651</f>
        <v>5</v>
      </c>
    </row>
    <row r="652" spans="1:26" ht="14.4">
      <c r="A652" s="27"/>
      <c r="B652" s="27"/>
      <c r="C652" s="28"/>
      <c r="D652" s="25" t="s">
        <v>125</v>
      </c>
      <c r="E652" s="30"/>
      <c r="F652" s="10"/>
      <c r="G652" s="32">
        <f>Source!AM186</f>
        <v>107.34</v>
      </c>
      <c r="H652" s="31" t="str">
        <f>Source!DE186</f>
        <v>)*1,25</v>
      </c>
      <c r="I652" s="33">
        <f>ROUND(Source!AD186*Source!I186, 0)</f>
        <v>1</v>
      </c>
      <c r="J652" s="31"/>
      <c r="K652" s="31">
        <f>IF(Source!BB186&lt;&gt; 0, Source!BB186, 1)</f>
        <v>14.32</v>
      </c>
      <c r="L652" s="33">
        <f>Source!Q186</f>
        <v>12</v>
      </c>
      <c r="M652" s="34"/>
    </row>
    <row r="653" spans="1:26" ht="14.4">
      <c r="A653" s="27"/>
      <c r="B653" s="27"/>
      <c r="C653" s="28"/>
      <c r="D653" s="25" t="s">
        <v>963</v>
      </c>
      <c r="E653" s="30"/>
      <c r="F653" s="10"/>
      <c r="G653" s="32">
        <f>Source!AN186</f>
        <v>53.78</v>
      </c>
      <c r="H653" s="31" t="str">
        <f>Source!DF186</f>
        <v>)*1,25</v>
      </c>
      <c r="I653" s="33">
        <f>ROUND(Source!AE186*Source!I186, 0)</f>
        <v>0</v>
      </c>
      <c r="J653" s="31"/>
      <c r="K653" s="31">
        <f>IF(Source!BS186&lt;&gt; 0, Source!BS186, 1)</f>
        <v>20.88</v>
      </c>
      <c r="L653" s="33">
        <f>Source!R186</f>
        <v>8</v>
      </c>
      <c r="M653" s="34"/>
      <c r="R653">
        <f>I653</f>
        <v>0</v>
      </c>
    </row>
    <row r="654" spans="1:26" ht="14.4">
      <c r="A654" s="27"/>
      <c r="B654" s="27"/>
      <c r="C654" s="28"/>
      <c r="D654" s="25" t="s">
        <v>969</v>
      </c>
      <c r="E654" s="30"/>
      <c r="F654" s="10"/>
      <c r="G654" s="32">
        <f>Source!AL186</f>
        <v>908.11</v>
      </c>
      <c r="H654" s="31" t="str">
        <f>Source!DD186</f>
        <v/>
      </c>
      <c r="I654" s="33">
        <f>ROUND(Source!AC186*Source!I186, 0)</f>
        <v>5</v>
      </c>
      <c r="J654" s="31"/>
      <c r="K654" s="31">
        <f>IF(Source!BC186&lt;&gt; 0, Source!BC186, 1)</f>
        <v>8.1300000000000008</v>
      </c>
      <c r="L654" s="33">
        <f>Source!P186</f>
        <v>44</v>
      </c>
      <c r="M654" s="34"/>
    </row>
    <row r="655" spans="1:26" ht="14.4">
      <c r="A655" s="27"/>
      <c r="B655" s="27"/>
      <c r="C655" s="28"/>
      <c r="D655" s="25" t="s">
        <v>964</v>
      </c>
      <c r="E655" s="30" t="s">
        <v>965</v>
      </c>
      <c r="F655" s="10">
        <f>Source!BZ186</f>
        <v>105</v>
      </c>
      <c r="G655" s="92" t="str">
        <f>CONCATENATE(" )", Source!DL186, Source!FT186, "=", Source!FX186)</f>
        <v xml:space="preserve"> )*0,9*0,7=66,15</v>
      </c>
      <c r="H655" s="90"/>
      <c r="I655" s="33">
        <f>SUM(S649:S657)</f>
        <v>3</v>
      </c>
      <c r="J655" s="35"/>
      <c r="K655" s="25">
        <f>Source!AT186</f>
        <v>66</v>
      </c>
      <c r="L655" s="33">
        <f>SUM(T649:T657)</f>
        <v>77</v>
      </c>
      <c r="M655" s="34"/>
    </row>
    <row r="656" spans="1:26" ht="14.4">
      <c r="A656" s="27"/>
      <c r="B656" s="27"/>
      <c r="C656" s="28"/>
      <c r="D656" s="25" t="s">
        <v>966</v>
      </c>
      <c r="E656" s="30" t="s">
        <v>965</v>
      </c>
      <c r="F656" s="10">
        <f>Source!CA186</f>
        <v>55</v>
      </c>
      <c r="G656" s="92" t="str">
        <f>CONCATENATE(" )", Source!DM186, Source!FU186, "=", Source!FY186)</f>
        <v xml:space="preserve"> )*0,85*0,9=42,075</v>
      </c>
      <c r="H656" s="90"/>
      <c r="I656" s="33">
        <f>SUM(U649:U657)</f>
        <v>2</v>
      </c>
      <c r="J656" s="35"/>
      <c r="K656" s="25">
        <f>Source!AU186</f>
        <v>42</v>
      </c>
      <c r="L656" s="33">
        <f>SUM(V649:V657)</f>
        <v>49</v>
      </c>
      <c r="M656" s="34"/>
    </row>
    <row r="657" spans="1:26" ht="14.4">
      <c r="A657" s="39"/>
      <c r="B657" s="39"/>
      <c r="C657" s="40"/>
      <c r="D657" s="41" t="s">
        <v>967</v>
      </c>
      <c r="E657" s="42" t="s">
        <v>968</v>
      </c>
      <c r="F657" s="43">
        <f>Source!AQ186</f>
        <v>85.84</v>
      </c>
      <c r="G657" s="44"/>
      <c r="H657" s="45" t="str">
        <f>Source!DI186</f>
        <v>)*1,15</v>
      </c>
      <c r="I657" s="46"/>
      <c r="J657" s="45"/>
      <c r="K657" s="45"/>
      <c r="L657" s="46"/>
      <c r="M657" s="47">
        <f>Source!U186</f>
        <v>0.59229599999999993</v>
      </c>
    </row>
    <row r="658" spans="1:26" ht="13.8">
      <c r="H658" s="93">
        <f>ROUND(Source!AC186*Source!I186, 0)+ROUND(Source!AF186*Source!I186, 0)+ROUND(Source!AD186*Source!I186, 0)+SUM(I655:I656)</f>
        <v>16</v>
      </c>
      <c r="I658" s="93"/>
      <c r="K658" s="93">
        <f>Source!O186+SUM(L655:L656)</f>
        <v>291</v>
      </c>
      <c r="L658" s="93"/>
      <c r="M658" s="38">
        <f>Source!U186</f>
        <v>0.59229599999999993</v>
      </c>
      <c r="O658" s="37">
        <f>H658</f>
        <v>16</v>
      </c>
      <c r="P658" s="37">
        <f>K658</f>
        <v>291</v>
      </c>
      <c r="Q658" s="48">
        <f>M658</f>
        <v>0.59229599999999993</v>
      </c>
      <c r="W658">
        <f>IF(Source!BI186&lt;=1,H658, 0)</f>
        <v>16</v>
      </c>
      <c r="X658">
        <f>IF(Source!BI186=2,H658, 0)</f>
        <v>0</v>
      </c>
      <c r="Y658">
        <f>IF(Source!BI186=3,H658, 0)</f>
        <v>0</v>
      </c>
      <c r="Z658">
        <f>IF(Source!BI186=4,H658, 0)</f>
        <v>0</v>
      </c>
    </row>
    <row r="659" spans="1:26" ht="28.8">
      <c r="A659" s="27">
        <v>87</v>
      </c>
      <c r="B659" s="27" t="str">
        <f>Source!E187</f>
        <v>80</v>
      </c>
      <c r="C659" s="28" t="str">
        <f>Source!F187</f>
        <v>11-01-011-1</v>
      </c>
      <c r="D659" s="25" t="str">
        <f>Source!G187</f>
        <v>Устройство стяжек цементных толщиной 20 мм</v>
      </c>
      <c r="E659" s="30" t="str">
        <f>Source!H187</f>
        <v>100 м2 стяжки</v>
      </c>
      <c r="F659" s="10">
        <f>Source!I187</f>
        <v>7.1999999999999998E-3</v>
      </c>
      <c r="G659" s="32">
        <f>IF(Source!AK187&lt;&gt; 0, Source!AK187,Source!AL187 + Source!AM187 + Source!AO187)</f>
        <v>1311.85</v>
      </c>
      <c r="H659" s="31"/>
      <c r="I659" s="33"/>
      <c r="J659" s="31" t="str">
        <f>Source!BO187</f>
        <v>11-01-011-1</v>
      </c>
      <c r="K659" s="31"/>
      <c r="L659" s="33"/>
      <c r="M659" s="34"/>
      <c r="S659">
        <f>ROUND((Source!FX187/100)*((ROUND(Source!AF187*Source!I187, 0)+ROUND(Source!AE187*Source!I187, 0))), 0)</f>
        <v>2</v>
      </c>
      <c r="T659">
        <f>Source!X187</f>
        <v>42</v>
      </c>
      <c r="U659">
        <f>ROUND((Source!FY187/100)*((ROUND(Source!AF187*Source!I187, 0)+ROUND(Source!AE187*Source!I187, 0))), 0)</f>
        <v>1</v>
      </c>
      <c r="V659">
        <f>Source!Y187</f>
        <v>31</v>
      </c>
    </row>
    <row r="660" spans="1:26">
      <c r="D660" s="49" t="str">
        <f>"Объем: "&amp;Source!I187&amp;"=0,72/"&amp;"100"</f>
        <v>Объем: 0,0072=0,72/100</v>
      </c>
    </row>
    <row r="661" spans="1:26" ht="14.4">
      <c r="A661" s="27"/>
      <c r="B661" s="27"/>
      <c r="C661" s="28"/>
      <c r="D661" s="25" t="s">
        <v>962</v>
      </c>
      <c r="E661" s="30"/>
      <c r="F661" s="10"/>
      <c r="G661" s="32">
        <f>Source!AO187</f>
        <v>293.56</v>
      </c>
      <c r="H661" s="31" t="str">
        <f>Source!DG187</f>
        <v>)*1,15</v>
      </c>
      <c r="I661" s="33">
        <f>ROUND(Source!AF187*Source!I187, 0)</f>
        <v>2</v>
      </c>
      <c r="J661" s="31"/>
      <c r="K661" s="31">
        <f>IF(Source!BA187&lt;&gt; 0, Source!BA187, 1)</f>
        <v>20.88</v>
      </c>
      <c r="L661" s="33">
        <f>Source!S187</f>
        <v>51</v>
      </c>
      <c r="M661" s="34"/>
      <c r="R661">
        <f>I661</f>
        <v>2</v>
      </c>
    </row>
    <row r="662" spans="1:26" ht="14.4">
      <c r="A662" s="27"/>
      <c r="B662" s="27"/>
      <c r="C662" s="28"/>
      <c r="D662" s="25" t="s">
        <v>125</v>
      </c>
      <c r="E662" s="30"/>
      <c r="F662" s="10"/>
      <c r="G662" s="32">
        <f>Source!AM187</f>
        <v>46.74</v>
      </c>
      <c r="H662" s="31" t="str">
        <f>Source!DE187</f>
        <v>)*1,25</v>
      </c>
      <c r="I662" s="33">
        <f>ROUND(Source!AD187*Source!I187, 0)</f>
        <v>0</v>
      </c>
      <c r="J662" s="31"/>
      <c r="K662" s="31">
        <f>IF(Source!BB187&lt;&gt; 0, Source!BB187, 1)</f>
        <v>9.51</v>
      </c>
      <c r="L662" s="33">
        <f>Source!Q187</f>
        <v>4</v>
      </c>
      <c r="M662" s="34"/>
    </row>
    <row r="663" spans="1:26" ht="14.4">
      <c r="A663" s="27"/>
      <c r="B663" s="27"/>
      <c r="C663" s="28"/>
      <c r="D663" s="25" t="s">
        <v>963</v>
      </c>
      <c r="E663" s="30"/>
      <c r="F663" s="10"/>
      <c r="G663" s="32">
        <f>Source!AN187</f>
        <v>15.37</v>
      </c>
      <c r="H663" s="31" t="str">
        <f>Source!DF187</f>
        <v>)*1,25</v>
      </c>
      <c r="I663" s="33">
        <f>ROUND(Source!AE187*Source!I187, 0)</f>
        <v>0</v>
      </c>
      <c r="J663" s="31"/>
      <c r="K663" s="31">
        <f>IF(Source!BS187&lt;&gt; 0, Source!BS187, 1)</f>
        <v>20.88</v>
      </c>
      <c r="L663" s="33">
        <f>Source!R187</f>
        <v>3</v>
      </c>
      <c r="M663" s="34"/>
      <c r="R663">
        <f>I663</f>
        <v>0</v>
      </c>
    </row>
    <row r="664" spans="1:26" ht="14.4">
      <c r="A664" s="27"/>
      <c r="B664" s="27"/>
      <c r="C664" s="28"/>
      <c r="D664" s="25" t="s">
        <v>969</v>
      </c>
      <c r="E664" s="30"/>
      <c r="F664" s="10"/>
      <c r="G664" s="32">
        <f>Source!AL187</f>
        <v>971.55</v>
      </c>
      <c r="H664" s="31" t="str">
        <f>Source!DD187</f>
        <v/>
      </c>
      <c r="I664" s="33">
        <f>ROUND(Source!AC187*Source!I187, 0)</f>
        <v>7</v>
      </c>
      <c r="J664" s="31"/>
      <c r="K664" s="31">
        <f>IF(Source!BC187&lt;&gt; 0, Source!BC187, 1)</f>
        <v>7.84</v>
      </c>
      <c r="L664" s="33">
        <f>Source!P187</f>
        <v>55</v>
      </c>
      <c r="M664" s="34"/>
    </row>
    <row r="665" spans="1:26" ht="14.4">
      <c r="A665" s="27"/>
      <c r="B665" s="27"/>
      <c r="C665" s="28"/>
      <c r="D665" s="25" t="s">
        <v>964</v>
      </c>
      <c r="E665" s="30" t="s">
        <v>965</v>
      </c>
      <c r="F665" s="10">
        <f>Source!BZ187</f>
        <v>123</v>
      </c>
      <c r="G665" s="92" t="str">
        <f>CONCATENATE(" )", Source!DL187, Source!FT187, "=", Source!FX187)</f>
        <v xml:space="preserve"> )*0,9*0,7=77,49</v>
      </c>
      <c r="H665" s="90"/>
      <c r="I665" s="33">
        <f>SUM(S659:S667)</f>
        <v>2</v>
      </c>
      <c r="J665" s="35"/>
      <c r="K665" s="25">
        <f>Source!AT187</f>
        <v>77</v>
      </c>
      <c r="L665" s="33">
        <f>SUM(T659:T667)</f>
        <v>42</v>
      </c>
      <c r="M665" s="34"/>
    </row>
    <row r="666" spans="1:26" ht="14.4">
      <c r="A666" s="27"/>
      <c r="B666" s="27"/>
      <c r="C666" s="28"/>
      <c r="D666" s="25" t="s">
        <v>966</v>
      </c>
      <c r="E666" s="30" t="s">
        <v>965</v>
      </c>
      <c r="F666" s="10">
        <f>Source!CA187</f>
        <v>75</v>
      </c>
      <c r="G666" s="92" t="str">
        <f>CONCATENATE(" )", Source!DM187, Source!FU187, "=", Source!FY187)</f>
        <v xml:space="preserve"> )*0,85*0,9=57,375</v>
      </c>
      <c r="H666" s="90"/>
      <c r="I666" s="33">
        <f>SUM(U659:U667)</f>
        <v>1</v>
      </c>
      <c r="J666" s="35"/>
      <c r="K666" s="25">
        <f>Source!AU187</f>
        <v>57</v>
      </c>
      <c r="L666" s="33">
        <f>SUM(V659:V667)</f>
        <v>31</v>
      </c>
      <c r="M666" s="34"/>
    </row>
    <row r="667" spans="1:26" ht="14.4">
      <c r="A667" s="39"/>
      <c r="B667" s="39"/>
      <c r="C667" s="40"/>
      <c r="D667" s="41" t="s">
        <v>967</v>
      </c>
      <c r="E667" s="42" t="s">
        <v>968</v>
      </c>
      <c r="F667" s="43">
        <f>Source!AQ187</f>
        <v>39.51</v>
      </c>
      <c r="G667" s="44"/>
      <c r="H667" s="45" t="str">
        <f>Source!DI187</f>
        <v>)*1,15</v>
      </c>
      <c r="I667" s="46"/>
      <c r="J667" s="45"/>
      <c r="K667" s="45"/>
      <c r="L667" s="46"/>
      <c r="M667" s="47">
        <f>Source!U187</f>
        <v>0.32714279999999996</v>
      </c>
    </row>
    <row r="668" spans="1:26" ht="13.8">
      <c r="H668" s="93">
        <f>ROUND(Source!AC187*Source!I187, 0)+ROUND(Source!AF187*Source!I187, 0)+ROUND(Source!AD187*Source!I187, 0)+SUM(I665:I666)</f>
        <v>12</v>
      </c>
      <c r="I668" s="93"/>
      <c r="K668" s="93">
        <f>Source!O187+SUM(L665:L666)</f>
        <v>183</v>
      </c>
      <c r="L668" s="93"/>
      <c r="M668" s="38">
        <f>Source!U187</f>
        <v>0.32714279999999996</v>
      </c>
      <c r="O668" s="37">
        <f>H668</f>
        <v>12</v>
      </c>
      <c r="P668" s="37">
        <f>K668</f>
        <v>183</v>
      </c>
      <c r="Q668" s="48">
        <f>M668</f>
        <v>0.32714279999999996</v>
      </c>
      <c r="W668">
        <f>IF(Source!BI187&lt;=1,H668, 0)</f>
        <v>12</v>
      </c>
      <c r="X668">
        <f>IF(Source!BI187=2,H668, 0)</f>
        <v>0</v>
      </c>
      <c r="Y668">
        <f>IF(Source!BI187=3,H668, 0)</f>
        <v>0</v>
      </c>
      <c r="Z668">
        <f>IF(Source!BI187=4,H668, 0)</f>
        <v>0</v>
      </c>
    </row>
    <row r="669" spans="1:26" ht="43.2">
      <c r="A669" s="27">
        <v>88</v>
      </c>
      <c r="B669" s="27" t="str">
        <f>Source!E188</f>
        <v>81</v>
      </c>
      <c r="C669" s="28" t="str">
        <f>Source!F188</f>
        <v>11-01-047-1</v>
      </c>
      <c r="D669" s="25" t="str">
        <f>Source!G188</f>
        <v>Устройство покрытий из плит керамогранитных размером 40х40 см</v>
      </c>
      <c r="E669" s="30" t="str">
        <f>Source!H188</f>
        <v>100 м2 покрытия</v>
      </c>
      <c r="F669" s="10">
        <f>Source!I188</f>
        <v>7.1999999999999998E-3</v>
      </c>
      <c r="G669" s="32">
        <f>IF(Source!AK188&lt;&gt; 0, Source!AK188,Source!AL188 + Source!AM188 + Source!AO188)</f>
        <v>21676.95</v>
      </c>
      <c r="H669" s="31"/>
      <c r="I669" s="33"/>
      <c r="J669" s="31" t="str">
        <f>Source!BO188</f>
        <v>11-01-047-1</v>
      </c>
      <c r="K669" s="31"/>
      <c r="L669" s="33"/>
      <c r="M669" s="34"/>
      <c r="S669">
        <f>ROUND((Source!FX188/100)*((ROUND(Source!AF188*Source!I188, 0)+ROUND(Source!AE188*Source!I188, 0))), 0)</f>
        <v>16</v>
      </c>
      <c r="T669">
        <f>Source!X188</f>
        <v>340</v>
      </c>
      <c r="U669">
        <f>ROUND((Source!FY188/100)*((ROUND(Source!AF188*Source!I188, 0)+ROUND(Source!AE188*Source!I188, 0))), 0)</f>
        <v>12</v>
      </c>
      <c r="V669">
        <f>Source!Y188</f>
        <v>251</v>
      </c>
    </row>
    <row r="670" spans="1:26">
      <c r="D670" s="49" t="str">
        <f>"Объем: "&amp;Source!I188&amp;"=0,72/"&amp;"100"</f>
        <v>Объем: 0,0072=0,72/100</v>
      </c>
    </row>
    <row r="671" spans="1:26" ht="14.4">
      <c r="A671" s="27"/>
      <c r="B671" s="27"/>
      <c r="C671" s="28"/>
      <c r="D671" s="25" t="s">
        <v>962</v>
      </c>
      <c r="E671" s="30"/>
      <c r="F671" s="10"/>
      <c r="G671" s="32">
        <f>Source!AO188</f>
        <v>2536.13</v>
      </c>
      <c r="H671" s="31" t="str">
        <f>Source!DG188</f>
        <v>)*1,15</v>
      </c>
      <c r="I671" s="33">
        <f>ROUND(Source!AF188*Source!I188, 0)</f>
        <v>21</v>
      </c>
      <c r="J671" s="31"/>
      <c r="K671" s="31">
        <f>IF(Source!BA188&lt;&gt; 0, Source!BA188, 1)</f>
        <v>20.88</v>
      </c>
      <c r="L671" s="33">
        <f>Source!S188</f>
        <v>438</v>
      </c>
      <c r="M671" s="34"/>
      <c r="R671">
        <f>I671</f>
        <v>21</v>
      </c>
    </row>
    <row r="672" spans="1:26" ht="14.4">
      <c r="A672" s="27"/>
      <c r="B672" s="27"/>
      <c r="C672" s="28"/>
      <c r="D672" s="25" t="s">
        <v>125</v>
      </c>
      <c r="E672" s="30"/>
      <c r="F672" s="10"/>
      <c r="G672" s="32">
        <f>Source!AM188</f>
        <v>23.65</v>
      </c>
      <c r="H672" s="31" t="str">
        <f>Source!DE188</f>
        <v>)*1,25</v>
      </c>
      <c r="I672" s="33">
        <f>ROUND(Source!AD188*Source!I188, 0)</f>
        <v>0</v>
      </c>
      <c r="J672" s="31"/>
      <c r="K672" s="31">
        <f>IF(Source!BB188&lt;&gt; 0, Source!BB188, 1)</f>
        <v>16.059999999999999</v>
      </c>
      <c r="L672" s="33">
        <f>Source!Q188</f>
        <v>3</v>
      </c>
      <c r="M672" s="34"/>
    </row>
    <row r="673" spans="1:33" ht="14.4">
      <c r="A673" s="27"/>
      <c r="B673" s="27"/>
      <c r="C673" s="28"/>
      <c r="D673" s="25" t="s">
        <v>963</v>
      </c>
      <c r="E673" s="30"/>
      <c r="F673" s="10"/>
      <c r="G673" s="32">
        <f>Source!AN188</f>
        <v>15.55</v>
      </c>
      <c r="H673" s="31" t="str">
        <f>Source!DF188</f>
        <v>)*1,25</v>
      </c>
      <c r="I673" s="33">
        <f>ROUND(Source!AE188*Source!I188, 0)</f>
        <v>0</v>
      </c>
      <c r="J673" s="31"/>
      <c r="K673" s="31">
        <f>IF(Source!BS188&lt;&gt; 0, Source!BS188, 1)</f>
        <v>20.88</v>
      </c>
      <c r="L673" s="33">
        <f>Source!R188</f>
        <v>3</v>
      </c>
      <c r="M673" s="34"/>
      <c r="R673">
        <f>I673</f>
        <v>0</v>
      </c>
    </row>
    <row r="674" spans="1:33" ht="14.4">
      <c r="A674" s="27"/>
      <c r="B674" s="27"/>
      <c r="C674" s="28"/>
      <c r="D674" s="25" t="s">
        <v>969</v>
      </c>
      <c r="E674" s="30"/>
      <c r="F674" s="10"/>
      <c r="G674" s="32">
        <f>Source!AL188</f>
        <v>19117.169999999998</v>
      </c>
      <c r="H674" s="31" t="str">
        <f>Source!DD188</f>
        <v/>
      </c>
      <c r="I674" s="33">
        <f>ROUND(Source!AC188*Source!I188, 0)</f>
        <v>138</v>
      </c>
      <c r="J674" s="31"/>
      <c r="K674" s="31">
        <f>IF(Source!BC188&lt;&gt; 0, Source!BC188, 1)</f>
        <v>3.22</v>
      </c>
      <c r="L674" s="33">
        <f>Source!P188</f>
        <v>443</v>
      </c>
      <c r="M674" s="34"/>
    </row>
    <row r="675" spans="1:33" ht="14.4">
      <c r="A675" s="27"/>
      <c r="B675" s="27"/>
      <c r="C675" s="28"/>
      <c r="D675" s="25" t="s">
        <v>964</v>
      </c>
      <c r="E675" s="30" t="s">
        <v>965</v>
      </c>
      <c r="F675" s="10">
        <f>Source!BZ188</f>
        <v>123</v>
      </c>
      <c r="G675" s="92" t="str">
        <f>CONCATENATE(" )", Source!DL188, Source!FT188, "=", Source!FX188)</f>
        <v xml:space="preserve"> )*0,9*0,7=77,49</v>
      </c>
      <c r="H675" s="90"/>
      <c r="I675" s="33">
        <f>SUM(S669:S677)</f>
        <v>16</v>
      </c>
      <c r="J675" s="35"/>
      <c r="K675" s="25">
        <f>Source!AT188</f>
        <v>77</v>
      </c>
      <c r="L675" s="33">
        <f>SUM(T669:T677)</f>
        <v>340</v>
      </c>
      <c r="M675" s="34"/>
    </row>
    <row r="676" spans="1:33" ht="14.4">
      <c r="A676" s="27"/>
      <c r="B676" s="27"/>
      <c r="C676" s="28"/>
      <c r="D676" s="25" t="s">
        <v>966</v>
      </c>
      <c r="E676" s="30" t="s">
        <v>965</v>
      </c>
      <c r="F676" s="10">
        <f>Source!CA188</f>
        <v>75</v>
      </c>
      <c r="G676" s="92" t="str">
        <f>CONCATENATE(" )", Source!DM188, Source!FU188, "=", Source!FY188)</f>
        <v xml:space="preserve"> )*0,85*0,9=57,375</v>
      </c>
      <c r="H676" s="90"/>
      <c r="I676" s="33">
        <f>SUM(U669:U677)</f>
        <v>12</v>
      </c>
      <c r="J676" s="35"/>
      <c r="K676" s="25">
        <f>Source!AU188</f>
        <v>57</v>
      </c>
      <c r="L676" s="33">
        <f>SUM(V669:V677)</f>
        <v>251</v>
      </c>
      <c r="M676" s="34"/>
    </row>
    <row r="677" spans="1:33" ht="14.4">
      <c r="A677" s="39"/>
      <c r="B677" s="39"/>
      <c r="C677" s="40"/>
      <c r="D677" s="41" t="s">
        <v>967</v>
      </c>
      <c r="E677" s="42" t="s">
        <v>968</v>
      </c>
      <c r="F677" s="43">
        <f>Source!AQ188</f>
        <v>310.42</v>
      </c>
      <c r="G677" s="44"/>
      <c r="H677" s="45" t="str">
        <f>Source!DI188</f>
        <v>)*1,15</v>
      </c>
      <c r="I677" s="46"/>
      <c r="J677" s="45"/>
      <c r="K677" s="45"/>
      <c r="L677" s="46"/>
      <c r="M677" s="47">
        <f>Source!U188</f>
        <v>2.5702775999999998</v>
      </c>
    </row>
    <row r="678" spans="1:33" ht="13.8">
      <c r="H678" s="93">
        <f>ROUND(Source!AC188*Source!I188, 0)+ROUND(Source!AF188*Source!I188, 0)+ROUND(Source!AD188*Source!I188, 0)+SUM(I675:I676)</f>
        <v>187</v>
      </c>
      <c r="I678" s="93"/>
      <c r="K678" s="93">
        <f>Source!O188+SUM(L675:L676)</f>
        <v>1475</v>
      </c>
      <c r="L678" s="93"/>
      <c r="M678" s="38">
        <f>Source!U188</f>
        <v>2.5702775999999998</v>
      </c>
      <c r="O678" s="37">
        <f>H678</f>
        <v>187</v>
      </c>
      <c r="P678" s="37">
        <f>K678</f>
        <v>1475</v>
      </c>
      <c r="Q678" s="48">
        <f>M678</f>
        <v>2.5702775999999998</v>
      </c>
      <c r="W678">
        <f>IF(Source!BI188&lt;=1,H678, 0)</f>
        <v>187</v>
      </c>
      <c r="X678">
        <f>IF(Source!BI188=2,H678, 0)</f>
        <v>0</v>
      </c>
      <c r="Y678">
        <f>IF(Source!BI188=3,H678, 0)</f>
        <v>0</v>
      </c>
      <c r="Z678">
        <f>IF(Source!BI188=4,H678, 0)</f>
        <v>0</v>
      </c>
    </row>
    <row r="680" spans="1:33" ht="13.8">
      <c r="A680" s="96" t="str">
        <f>CONCATENATE("Итого по разделу: ", Source!G190)</f>
        <v>Итого по разделу: Склад аптеки</v>
      </c>
      <c r="B680" s="96"/>
      <c r="C680" s="96"/>
      <c r="D680" s="96"/>
      <c r="E680" s="96"/>
      <c r="F680" s="96"/>
      <c r="G680" s="96"/>
      <c r="H680" s="93">
        <f>SUM(O343:O679)</f>
        <v>31258</v>
      </c>
      <c r="I680" s="84"/>
      <c r="J680" s="50"/>
      <c r="K680" s="93">
        <f>SUM(P343:P679)</f>
        <v>225175</v>
      </c>
      <c r="L680" s="84"/>
      <c r="M680" s="38">
        <f>SUM(Q343:Q679)</f>
        <v>326.88007849999985</v>
      </c>
      <c r="AG680" s="51" t="str">
        <f>CONCATENATE("Итого по разделу: ", Source!G190)</f>
        <v>Итого по разделу: Склад аптеки</v>
      </c>
    </row>
    <row r="682" spans="1:33" ht="13.8">
      <c r="D682" s="25" t="str">
        <f>Source!H218</f>
        <v>Итого</v>
      </c>
      <c r="K682" s="97">
        <f>Source!F218</f>
        <v>225175</v>
      </c>
      <c r="L682" s="97"/>
    </row>
    <row r="685" spans="1:33" ht="13.8">
      <c r="A685" s="96" t="str">
        <f>CONCATENATE("Итого по локальной смете: ", Source!G220)</f>
        <v>Итого по локальной смете: Санузел для инвалидов</v>
      </c>
      <c r="B685" s="96"/>
      <c r="C685" s="96"/>
      <c r="D685" s="96"/>
      <c r="E685" s="96"/>
      <c r="F685" s="96"/>
      <c r="G685" s="96"/>
      <c r="H685" s="93">
        <f>SUM(O35:O684)</f>
        <v>60602</v>
      </c>
      <c r="I685" s="84"/>
      <c r="J685" s="50"/>
      <c r="K685" s="93">
        <f>SUM(P35:P684)</f>
        <v>342495</v>
      </c>
      <c r="L685" s="84"/>
      <c r="M685" s="38">
        <f>SUM(Q35:Q684)</f>
        <v>468.74874079999984</v>
      </c>
      <c r="AG685" s="51" t="str">
        <f>CONCATENATE("Итого по локальной смете: ", Source!G220)</f>
        <v>Итого по локальной смете: Санузел для инвалидов</v>
      </c>
    </row>
    <row r="687" spans="1:33" ht="13.8">
      <c r="D687" s="25" t="str">
        <f>Source!H248</f>
        <v>ОЗП</v>
      </c>
      <c r="K687" s="97">
        <f>Source!F248</f>
        <v>81371</v>
      </c>
      <c r="L687" s="97"/>
    </row>
    <row r="688" spans="1:33" ht="13.8">
      <c r="D688" s="25" t="str">
        <f>Source!H249</f>
        <v>ЗПМ (справочно)</v>
      </c>
      <c r="K688" s="97">
        <f>Source!F249</f>
        <v>2073</v>
      </c>
      <c r="L688" s="97"/>
    </row>
    <row r="689" spans="1:39" ht="13.8">
      <c r="D689" s="25" t="str">
        <f>Source!H250</f>
        <v>ЭММ, в т.ч. ЗПМ</v>
      </c>
      <c r="K689" s="97">
        <f>Source!F250</f>
        <v>4541</v>
      </c>
      <c r="L689" s="97"/>
    </row>
    <row r="690" spans="1:39" ht="13.8">
      <c r="D690" s="25" t="str">
        <f>Source!H251</f>
        <v>Стоимость материалов</v>
      </c>
      <c r="K690" s="97">
        <f>Source!F251</f>
        <v>156144</v>
      </c>
      <c r="L690" s="97"/>
    </row>
    <row r="691" spans="1:39" ht="13.8">
      <c r="D691" s="25" t="str">
        <f>Source!H252</f>
        <v>НР</v>
      </c>
      <c r="K691" s="97">
        <f>Source!F252</f>
        <v>58307</v>
      </c>
      <c r="L691" s="97"/>
    </row>
    <row r="692" spans="1:39" ht="13.8">
      <c r="D692" s="25" t="str">
        <f>Source!H253</f>
        <v>СП</v>
      </c>
      <c r="K692" s="97">
        <f>Source!F253</f>
        <v>42132</v>
      </c>
      <c r="L692" s="97"/>
    </row>
    <row r="693" spans="1:39" ht="14.4">
      <c r="D693" s="25" t="str">
        <f>Source!H254</f>
        <v>Всего</v>
      </c>
      <c r="E693" s="101" t="str">
        <f>"="&amp;Source!F248&amp;"+"&amp;""&amp;Source!F250&amp;"+"&amp;""&amp;Source!F251&amp;"+"&amp;""&amp;Source!F252&amp;"+"&amp;""&amp;Source!F253&amp;""</f>
        <v>=81371+4541+156144+58307+42132</v>
      </c>
      <c r="F693" s="90"/>
      <c r="G693" s="90"/>
      <c r="H693" s="90"/>
      <c r="I693" s="90"/>
      <c r="J693" s="90"/>
      <c r="K693" s="97">
        <f>Source!F254</f>
        <v>342495</v>
      </c>
      <c r="L693" s="97"/>
      <c r="AM693" s="59" t="str">
        <f>"="&amp;Source!F248&amp;"+"&amp;""&amp;Source!F250&amp;"+"&amp;""&amp;Source!F251&amp;"+"&amp;""&amp;Source!F252&amp;"+"&amp;""&amp;Source!F253&amp;""</f>
        <v>=81371+4541+156144+58307+42132</v>
      </c>
    </row>
    <row r="694" spans="1:39" ht="28.2">
      <c r="D694" s="25" t="str">
        <f>Source!H255</f>
        <v>Возм-ние НДС (СтМат+ЭММ-ЗПМ+НР*0,1712+СП*0,15)*0,20</v>
      </c>
      <c r="E694" s="101" t="str">
        <f>"=("&amp;Source!F251&amp;"+"&amp;""&amp;Source!F250&amp;"-"&amp;""&amp;Source!F249&amp;"+"&amp;""&amp;Source!F252&amp;"*"&amp;"0,1712+"&amp;""&amp;Source!F253&amp;"*"&amp;"0,15)*"&amp;"0,2"</f>
        <v>=(156144+4541-2073+58307*0,1712+42132*0,15)*0,2</v>
      </c>
      <c r="F694" s="90"/>
      <c r="G694" s="90"/>
      <c r="H694" s="90"/>
      <c r="I694" s="90"/>
      <c r="J694" s="90"/>
      <c r="K694" s="97">
        <f>Source!F255</f>
        <v>34983</v>
      </c>
      <c r="L694" s="97"/>
      <c r="AM694" s="59" t="str">
        <f>"=("&amp;Source!F251&amp;"+"&amp;""&amp;Source!F250&amp;"-"&amp;""&amp;Source!F249&amp;"+"&amp;""&amp;Source!F252&amp;"*"&amp;"0,1712+"&amp;""&amp;Source!F253&amp;"*"&amp;"0,15)*"&amp;"0,2"</f>
        <v>=(156144+4541-2073+58307*0,1712+42132*0,15)*0,2</v>
      </c>
    </row>
    <row r="695" spans="1:39" ht="14.4">
      <c r="D695" s="25" t="str">
        <f>Source!H256</f>
        <v>Итого с возм-ем НДС</v>
      </c>
      <c r="E695" s="101" t="str">
        <f>"="&amp;Source!F254&amp;"+"&amp;""&amp;Source!F255&amp;""</f>
        <v>=342495+34983</v>
      </c>
      <c r="F695" s="90"/>
      <c r="G695" s="90"/>
      <c r="H695" s="90"/>
      <c r="I695" s="90"/>
      <c r="J695" s="90"/>
      <c r="K695" s="97">
        <f>Source!F256</f>
        <v>377478</v>
      </c>
      <c r="L695" s="97"/>
      <c r="AM695" s="59" t="str">
        <f>"="&amp;Source!F254&amp;"+"&amp;""&amp;Source!F255&amp;""</f>
        <v>=342495+34983</v>
      </c>
    </row>
    <row r="698" spans="1:39" ht="13.8">
      <c r="A698" s="96" t="str">
        <f>CONCATENATE("Итого по смете: ", Source!G258)</f>
        <v>Итого по смете:  Санузел для МГН, аптечный склад</v>
      </c>
      <c r="B698" s="96"/>
      <c r="C698" s="96"/>
      <c r="D698" s="96"/>
      <c r="E698" s="96"/>
      <c r="F698" s="96"/>
      <c r="G698" s="96"/>
      <c r="H698" s="93">
        <f>SUM(O1:O697)</f>
        <v>60602</v>
      </c>
      <c r="I698" s="84"/>
      <c r="J698" s="50"/>
      <c r="K698" s="93">
        <f>SUM(P1:P697)</f>
        <v>342495</v>
      </c>
      <c r="L698" s="84"/>
      <c r="M698" s="38">
        <f>SUM(Q1:Q697)</f>
        <v>468.74874079999984</v>
      </c>
      <c r="AG698" s="51" t="str">
        <f>CONCATENATE("Итого по смете: ", Source!G258)</f>
        <v>Итого по смете:  Санузел для МГН, аптечный склад</v>
      </c>
    </row>
    <row r="700" spans="1:39" ht="13.8">
      <c r="D700" s="25" t="str">
        <f>Source!H286</f>
        <v>ОЗП</v>
      </c>
      <c r="K700" s="97">
        <f>Source!F286</f>
        <v>81371</v>
      </c>
      <c r="L700" s="97"/>
    </row>
    <row r="701" spans="1:39" ht="13.8">
      <c r="D701" s="25" t="str">
        <f>Source!H287</f>
        <v>ЗПМ (справочно)</v>
      </c>
      <c r="K701" s="97">
        <f>Source!F287</f>
        <v>2073</v>
      </c>
      <c r="L701" s="97"/>
    </row>
    <row r="702" spans="1:39" ht="13.8">
      <c r="D702" s="25" t="str">
        <f>Source!H288</f>
        <v>ЭММ, в т.ч. ЗПМ</v>
      </c>
      <c r="K702" s="97">
        <f>Source!F288</f>
        <v>4541</v>
      </c>
      <c r="L702" s="97"/>
    </row>
    <row r="703" spans="1:39" ht="13.8">
      <c r="D703" s="25" t="str">
        <f>Source!H289</f>
        <v>Стоимость материалов</v>
      </c>
      <c r="K703" s="97">
        <f>Source!F289</f>
        <v>156144</v>
      </c>
      <c r="L703" s="97"/>
    </row>
    <row r="704" spans="1:39" ht="13.8">
      <c r="D704" s="25" t="str">
        <f>Source!H290</f>
        <v>НР</v>
      </c>
      <c r="K704" s="97">
        <f>Source!F290</f>
        <v>58307</v>
      </c>
      <c r="L704" s="97"/>
    </row>
    <row r="705" spans="1:39" ht="13.8">
      <c r="D705" s="25" t="str">
        <f>Source!H291</f>
        <v>СП</v>
      </c>
      <c r="K705" s="97">
        <f>Source!F291</f>
        <v>42132</v>
      </c>
      <c r="L705" s="97"/>
    </row>
    <row r="706" spans="1:39" ht="14.4">
      <c r="D706" s="25" t="str">
        <f>Source!H292</f>
        <v>Всего</v>
      </c>
      <c r="E706" s="101" t="str">
        <f>"="&amp;Source!F286&amp;"+"&amp;""&amp;Source!F288&amp;"+"&amp;""&amp;Source!F289&amp;"+"&amp;""&amp;Source!F290&amp;"+"&amp;""&amp;Source!F291&amp;""</f>
        <v>=81371+4541+156144+58307+42132</v>
      </c>
      <c r="F706" s="90"/>
      <c r="G706" s="90"/>
      <c r="H706" s="90"/>
      <c r="I706" s="90"/>
      <c r="J706" s="90"/>
      <c r="K706" s="97">
        <f>Source!F292</f>
        <v>342495</v>
      </c>
      <c r="L706" s="97"/>
      <c r="AM706" s="59" t="str">
        <f>"="&amp;Source!F286&amp;"+"&amp;""&amp;Source!F288&amp;"+"&amp;""&amp;Source!F289&amp;"+"&amp;""&amp;Source!F290&amp;"+"&amp;""&amp;Source!F291&amp;""</f>
        <v>=81371+4541+156144+58307+42132</v>
      </c>
    </row>
    <row r="707" spans="1:39" ht="28.2">
      <c r="D707" s="25" t="str">
        <f>Source!H293</f>
        <v>Возм-ние НДС (СтМат+ЭММ-ЗПМ+НР*0,1712+СП*0,15)*0,20</v>
      </c>
      <c r="E707" s="101" t="str">
        <f>"=("&amp;Source!F289&amp;"+"&amp;""&amp;Source!F288&amp;"-"&amp;""&amp;Source!F287&amp;"+"&amp;""&amp;Source!F290&amp;"*"&amp;"0,1712+"&amp;""&amp;Source!F291&amp;"*"&amp;"0,15)*"&amp;"0,2"</f>
        <v>=(156144+4541-2073+58307*0,1712+42132*0,15)*0,2</v>
      </c>
      <c r="F707" s="90"/>
      <c r="G707" s="90"/>
      <c r="H707" s="90"/>
      <c r="I707" s="90"/>
      <c r="J707" s="90"/>
      <c r="K707" s="97">
        <f>Source!F293</f>
        <v>34983</v>
      </c>
      <c r="L707" s="97"/>
      <c r="AM707" s="59" t="str">
        <f>"=("&amp;Source!F289&amp;"+"&amp;""&amp;Source!F288&amp;"-"&amp;""&amp;Source!F287&amp;"+"&amp;""&amp;Source!F290&amp;"*"&amp;"0,1712+"&amp;""&amp;Source!F291&amp;"*"&amp;"0,15)*"&amp;"0,2"</f>
        <v>=(156144+4541-2073+58307*0,1712+42132*0,15)*0,2</v>
      </c>
    </row>
    <row r="708" spans="1:39" ht="14.4">
      <c r="D708" s="25" t="str">
        <f>Source!H294</f>
        <v>Итого с возм-ем НДС</v>
      </c>
      <c r="E708" s="101" t="str">
        <f>"="&amp;Source!F292&amp;"+"&amp;""&amp;Source!F293&amp;""</f>
        <v>=342495+34983</v>
      </c>
      <c r="F708" s="90"/>
      <c r="G708" s="90"/>
      <c r="H708" s="90"/>
      <c r="I708" s="90"/>
      <c r="J708" s="90"/>
      <c r="K708" s="97">
        <f>Source!F294</f>
        <v>377478</v>
      </c>
      <c r="L708" s="97"/>
      <c r="AM708" s="59" t="str">
        <f>"="&amp;Source!F292&amp;"+"&amp;""&amp;Source!F293&amp;""</f>
        <v>=342495+34983</v>
      </c>
    </row>
    <row r="712" spans="1:39" ht="15">
      <c r="A712" s="11"/>
      <c r="B712" s="100" t="s">
        <v>1006</v>
      </c>
      <c r="C712" s="100"/>
      <c r="D712" s="71" t="str">
        <f>IF(Source!AM12&lt;&gt;"", Source!AM12," ")</f>
        <v xml:space="preserve"> </v>
      </c>
      <c r="E712" s="72"/>
      <c r="F712" s="71"/>
      <c r="G712" s="73"/>
      <c r="H712" s="72"/>
      <c r="I712" s="71" t="str">
        <f>IF(Source!AL12&lt;&gt;"", Source!AL12," ")</f>
        <v xml:space="preserve"> </v>
      </c>
      <c r="J712" s="73"/>
      <c r="K712" s="73"/>
      <c r="L712" s="73"/>
      <c r="M712" s="11"/>
    </row>
    <row r="713" spans="1:39" ht="13.8">
      <c r="A713" s="11"/>
      <c r="B713" s="74"/>
      <c r="C713" s="74"/>
      <c r="D713" s="62" t="s">
        <v>971</v>
      </c>
      <c r="E713" s="74"/>
      <c r="F713" s="99" t="s">
        <v>972</v>
      </c>
      <c r="G713" s="99"/>
      <c r="H713" s="74"/>
      <c r="I713" s="99" t="s">
        <v>973</v>
      </c>
      <c r="J713" s="99"/>
      <c r="K713" s="99"/>
      <c r="L713" s="99"/>
      <c r="M713" s="11"/>
    </row>
    <row r="714" spans="1:39" ht="15">
      <c r="A714" s="11"/>
      <c r="B714" s="72"/>
      <c r="C714" s="75"/>
      <c r="D714" s="72"/>
      <c r="E714" s="63"/>
      <c r="F714" s="61" t="s">
        <v>974</v>
      </c>
      <c r="G714" s="72"/>
      <c r="H714" s="72"/>
      <c r="I714" s="72"/>
      <c r="J714" s="72"/>
      <c r="K714" s="72"/>
      <c r="L714" s="72"/>
      <c r="M714" s="11"/>
    </row>
    <row r="715" spans="1:39" ht="13.8">
      <c r="A715" s="11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11"/>
    </row>
    <row r="716" spans="1:39" ht="15">
      <c r="A716" s="11"/>
      <c r="B716" s="100" t="s">
        <v>1007</v>
      </c>
      <c r="C716" s="100"/>
      <c r="D716" s="71" t="str">
        <f>IF(Source!AI12&lt;&gt;"", Source!AI12," ")</f>
        <v xml:space="preserve"> </v>
      </c>
      <c r="E716" s="72"/>
      <c r="F716" s="71"/>
      <c r="G716" s="73"/>
      <c r="H716" s="72"/>
      <c r="I716" s="71" t="str">
        <f>IF(Source!AH12&lt;&gt;"", Source!AH12," ")</f>
        <v xml:space="preserve"> </v>
      </c>
      <c r="J716" s="73"/>
      <c r="K716" s="73"/>
      <c r="L716" s="73"/>
      <c r="M716" s="11"/>
    </row>
    <row r="717" spans="1:39" ht="13.8">
      <c r="A717" s="11"/>
      <c r="B717" s="74"/>
      <c r="C717" s="74"/>
      <c r="D717" s="62" t="s">
        <v>971</v>
      </c>
      <c r="E717" s="74"/>
      <c r="F717" s="99" t="s">
        <v>972</v>
      </c>
      <c r="G717" s="99"/>
      <c r="H717" s="74"/>
      <c r="I717" s="99" t="s">
        <v>973</v>
      </c>
      <c r="J717" s="99"/>
      <c r="K717" s="99"/>
      <c r="L717" s="99"/>
      <c r="M717" s="11"/>
    </row>
    <row r="718" spans="1:39" ht="15">
      <c r="A718" s="11"/>
      <c r="B718" s="72"/>
      <c r="C718" s="75"/>
      <c r="D718" s="72"/>
      <c r="E718" s="75"/>
      <c r="F718" s="61" t="s">
        <v>974</v>
      </c>
      <c r="G718" s="72"/>
      <c r="H718" s="72"/>
      <c r="I718" s="72"/>
      <c r="J718" s="72"/>
      <c r="K718" s="72"/>
      <c r="L718" s="72"/>
      <c r="M718" s="11"/>
    </row>
  </sheetData>
  <mergeCells count="387">
    <mergeCell ref="F717:G717"/>
    <mergeCell ref="I717:L717"/>
    <mergeCell ref="E708:J708"/>
    <mergeCell ref="K708:L708"/>
    <mergeCell ref="B712:C712"/>
    <mergeCell ref="F713:G713"/>
    <mergeCell ref="I713:L713"/>
    <mergeCell ref="B716:C716"/>
    <mergeCell ref="K703:L703"/>
    <mergeCell ref="K704:L704"/>
    <mergeCell ref="K705:L705"/>
    <mergeCell ref="E706:J706"/>
    <mergeCell ref="K706:L706"/>
    <mergeCell ref="E707:J707"/>
    <mergeCell ref="K707:L707"/>
    <mergeCell ref="A698:G698"/>
    <mergeCell ref="K698:L698"/>
    <mergeCell ref="H698:I698"/>
    <mergeCell ref="K700:L700"/>
    <mergeCell ref="K701:L701"/>
    <mergeCell ref="K702:L702"/>
    <mergeCell ref="E693:J693"/>
    <mergeCell ref="K693:L693"/>
    <mergeCell ref="E694:J694"/>
    <mergeCell ref="K694:L694"/>
    <mergeCell ref="E695:J695"/>
    <mergeCell ref="K695:L695"/>
    <mergeCell ref="K687:L687"/>
    <mergeCell ref="K688:L688"/>
    <mergeCell ref="K689:L689"/>
    <mergeCell ref="K690:L690"/>
    <mergeCell ref="K691:L691"/>
    <mergeCell ref="K692:L692"/>
    <mergeCell ref="A680:G680"/>
    <mergeCell ref="K680:L680"/>
    <mergeCell ref="H680:I680"/>
    <mergeCell ref="K682:L682"/>
    <mergeCell ref="A685:G685"/>
    <mergeCell ref="K685:L685"/>
    <mergeCell ref="H685:I685"/>
    <mergeCell ref="H668:I668"/>
    <mergeCell ref="K668:L668"/>
    <mergeCell ref="G675:H675"/>
    <mergeCell ref="G676:H676"/>
    <mergeCell ref="H678:I678"/>
    <mergeCell ref="K678:L678"/>
    <mergeCell ref="G655:H655"/>
    <mergeCell ref="G656:H656"/>
    <mergeCell ref="H658:I658"/>
    <mergeCell ref="K658:L658"/>
    <mergeCell ref="G665:H665"/>
    <mergeCell ref="G666:H666"/>
    <mergeCell ref="H640:I640"/>
    <mergeCell ref="K640:L640"/>
    <mergeCell ref="G645:H645"/>
    <mergeCell ref="G646:H646"/>
    <mergeCell ref="H648:I648"/>
    <mergeCell ref="K648:L648"/>
    <mergeCell ref="H628:I628"/>
    <mergeCell ref="K628:L628"/>
    <mergeCell ref="H631:I631"/>
    <mergeCell ref="K631:L631"/>
    <mergeCell ref="G637:H637"/>
    <mergeCell ref="G638:H638"/>
    <mergeCell ref="H614:I614"/>
    <mergeCell ref="K614:L614"/>
    <mergeCell ref="H617:I617"/>
    <mergeCell ref="K617:L617"/>
    <mergeCell ref="G624:H624"/>
    <mergeCell ref="G625:H625"/>
    <mergeCell ref="G601:H601"/>
    <mergeCell ref="G602:H602"/>
    <mergeCell ref="H604:I604"/>
    <mergeCell ref="K604:L604"/>
    <mergeCell ref="G610:H610"/>
    <mergeCell ref="G611:H611"/>
    <mergeCell ref="G586:H586"/>
    <mergeCell ref="H589:I589"/>
    <mergeCell ref="K589:L589"/>
    <mergeCell ref="H592:I592"/>
    <mergeCell ref="K592:L592"/>
    <mergeCell ref="H595:I595"/>
    <mergeCell ref="K595:L595"/>
    <mergeCell ref="D569:M569"/>
    <mergeCell ref="G575:H575"/>
    <mergeCell ref="G576:H576"/>
    <mergeCell ref="H578:I578"/>
    <mergeCell ref="K578:L578"/>
    <mergeCell ref="G585:H585"/>
    <mergeCell ref="G562:H562"/>
    <mergeCell ref="G563:H563"/>
    <mergeCell ref="H565:I565"/>
    <mergeCell ref="K565:L565"/>
    <mergeCell ref="H568:I568"/>
    <mergeCell ref="K568:L568"/>
    <mergeCell ref="H548:I548"/>
    <mergeCell ref="K548:L548"/>
    <mergeCell ref="G554:H554"/>
    <mergeCell ref="G555:H555"/>
    <mergeCell ref="H557:I557"/>
    <mergeCell ref="K557:L557"/>
    <mergeCell ref="G536:H536"/>
    <mergeCell ref="G537:H537"/>
    <mergeCell ref="H539:I539"/>
    <mergeCell ref="K539:L539"/>
    <mergeCell ref="G545:H545"/>
    <mergeCell ref="G546:H546"/>
    <mergeCell ref="H522:I522"/>
    <mergeCell ref="K522:L522"/>
    <mergeCell ref="G527:H527"/>
    <mergeCell ref="G528:H528"/>
    <mergeCell ref="H530:I530"/>
    <mergeCell ref="K530:L530"/>
    <mergeCell ref="H508:I508"/>
    <mergeCell ref="K508:L508"/>
    <mergeCell ref="G515:H515"/>
    <mergeCell ref="G516:H516"/>
    <mergeCell ref="H519:I519"/>
    <mergeCell ref="K519:L519"/>
    <mergeCell ref="G496:H496"/>
    <mergeCell ref="G497:H497"/>
    <mergeCell ref="H499:I499"/>
    <mergeCell ref="K499:L499"/>
    <mergeCell ref="G505:H505"/>
    <mergeCell ref="G506:H506"/>
    <mergeCell ref="G482:H482"/>
    <mergeCell ref="G483:H483"/>
    <mergeCell ref="H486:I486"/>
    <mergeCell ref="K486:L486"/>
    <mergeCell ref="H489:I489"/>
    <mergeCell ref="K489:L489"/>
    <mergeCell ref="G469:H469"/>
    <mergeCell ref="G470:H470"/>
    <mergeCell ref="H472:I472"/>
    <mergeCell ref="K472:L472"/>
    <mergeCell ref="H475:I475"/>
    <mergeCell ref="K475:L475"/>
    <mergeCell ref="H452:I452"/>
    <mergeCell ref="K452:L452"/>
    <mergeCell ref="G459:H459"/>
    <mergeCell ref="G460:H460"/>
    <mergeCell ref="H462:I462"/>
    <mergeCell ref="K462:L462"/>
    <mergeCell ref="G439:H439"/>
    <mergeCell ref="G440:H440"/>
    <mergeCell ref="H442:I442"/>
    <mergeCell ref="K442:L442"/>
    <mergeCell ref="G449:H449"/>
    <mergeCell ref="G450:H450"/>
    <mergeCell ref="G420:H420"/>
    <mergeCell ref="H422:I422"/>
    <mergeCell ref="K422:L422"/>
    <mergeCell ref="G429:H429"/>
    <mergeCell ref="G430:H430"/>
    <mergeCell ref="H432:I432"/>
    <mergeCell ref="K432:L432"/>
    <mergeCell ref="D402:M402"/>
    <mergeCell ref="G409:H409"/>
    <mergeCell ref="G410:H410"/>
    <mergeCell ref="H412:I412"/>
    <mergeCell ref="K412:L412"/>
    <mergeCell ref="G419:H419"/>
    <mergeCell ref="H392:I392"/>
    <mergeCell ref="K392:L392"/>
    <mergeCell ref="G398:H398"/>
    <mergeCell ref="G399:H399"/>
    <mergeCell ref="H401:I401"/>
    <mergeCell ref="K401:L401"/>
    <mergeCell ref="G382:H382"/>
    <mergeCell ref="G383:H383"/>
    <mergeCell ref="H385:I385"/>
    <mergeCell ref="K385:L385"/>
    <mergeCell ref="G389:H389"/>
    <mergeCell ref="G390:H390"/>
    <mergeCell ref="H369:I369"/>
    <mergeCell ref="K369:L369"/>
    <mergeCell ref="G375:H375"/>
    <mergeCell ref="G376:H376"/>
    <mergeCell ref="H378:I378"/>
    <mergeCell ref="K378:L378"/>
    <mergeCell ref="G357:H357"/>
    <mergeCell ref="G358:H358"/>
    <mergeCell ref="H360:I360"/>
    <mergeCell ref="K360:L360"/>
    <mergeCell ref="G366:H366"/>
    <mergeCell ref="G367:H367"/>
    <mergeCell ref="A343:M343"/>
    <mergeCell ref="D344:M344"/>
    <mergeCell ref="G350:H350"/>
    <mergeCell ref="G351:H351"/>
    <mergeCell ref="H353:I353"/>
    <mergeCell ref="K353:L353"/>
    <mergeCell ref="H336:I336"/>
    <mergeCell ref="K336:L336"/>
    <mergeCell ref="A338:G338"/>
    <mergeCell ref="K338:L338"/>
    <mergeCell ref="H338:I338"/>
    <mergeCell ref="K340:L340"/>
    <mergeCell ref="H324:I324"/>
    <mergeCell ref="K324:L324"/>
    <mergeCell ref="H327:I327"/>
    <mergeCell ref="K327:L327"/>
    <mergeCell ref="G333:H333"/>
    <mergeCell ref="G334:H334"/>
    <mergeCell ref="H315:I315"/>
    <mergeCell ref="K315:L315"/>
    <mergeCell ref="H318:I318"/>
    <mergeCell ref="K318:L318"/>
    <mergeCell ref="H321:I321"/>
    <mergeCell ref="K321:L321"/>
    <mergeCell ref="H304:I304"/>
    <mergeCell ref="K304:L304"/>
    <mergeCell ref="H307:I307"/>
    <mergeCell ref="K307:L307"/>
    <mergeCell ref="G312:H312"/>
    <mergeCell ref="G313:H313"/>
    <mergeCell ref="G293:H293"/>
    <mergeCell ref="G294:H294"/>
    <mergeCell ref="H296:I296"/>
    <mergeCell ref="K296:L296"/>
    <mergeCell ref="G301:H301"/>
    <mergeCell ref="G302:H302"/>
    <mergeCell ref="H281:I281"/>
    <mergeCell ref="K281:L281"/>
    <mergeCell ref="H284:I284"/>
    <mergeCell ref="K284:L284"/>
    <mergeCell ref="H287:I287"/>
    <mergeCell ref="K287:L287"/>
    <mergeCell ref="G267:H267"/>
    <mergeCell ref="G268:H268"/>
    <mergeCell ref="H270:I270"/>
    <mergeCell ref="K270:L270"/>
    <mergeCell ref="G277:H277"/>
    <mergeCell ref="G278:H278"/>
    <mergeCell ref="H252:I252"/>
    <mergeCell ref="K252:L252"/>
    <mergeCell ref="G258:H258"/>
    <mergeCell ref="G259:H259"/>
    <mergeCell ref="H261:I261"/>
    <mergeCell ref="K261:L261"/>
    <mergeCell ref="H239:I239"/>
    <mergeCell ref="K239:L239"/>
    <mergeCell ref="G246:H246"/>
    <mergeCell ref="G247:H247"/>
    <mergeCell ref="H249:I249"/>
    <mergeCell ref="K249:L249"/>
    <mergeCell ref="H226:I226"/>
    <mergeCell ref="K226:L226"/>
    <mergeCell ref="G233:H233"/>
    <mergeCell ref="G234:H234"/>
    <mergeCell ref="H236:I236"/>
    <mergeCell ref="K236:L236"/>
    <mergeCell ref="H213:I213"/>
    <mergeCell ref="K213:L213"/>
    <mergeCell ref="G220:H220"/>
    <mergeCell ref="G221:H221"/>
    <mergeCell ref="H223:I223"/>
    <mergeCell ref="K223:L223"/>
    <mergeCell ref="H199:I199"/>
    <mergeCell ref="K199:L199"/>
    <mergeCell ref="G206:H206"/>
    <mergeCell ref="G207:H207"/>
    <mergeCell ref="H210:I210"/>
    <mergeCell ref="K210:L210"/>
    <mergeCell ref="H186:I186"/>
    <mergeCell ref="K186:L186"/>
    <mergeCell ref="H189:I189"/>
    <mergeCell ref="K189:L189"/>
    <mergeCell ref="G196:H196"/>
    <mergeCell ref="G197:H197"/>
    <mergeCell ref="G173:H173"/>
    <mergeCell ref="G174:H174"/>
    <mergeCell ref="H176:I176"/>
    <mergeCell ref="K176:L176"/>
    <mergeCell ref="G183:H183"/>
    <mergeCell ref="G184:H184"/>
    <mergeCell ref="K153:L153"/>
    <mergeCell ref="A156:M156"/>
    <mergeCell ref="G163:H163"/>
    <mergeCell ref="G164:H164"/>
    <mergeCell ref="H166:I166"/>
    <mergeCell ref="K166:L166"/>
    <mergeCell ref="G146:H146"/>
    <mergeCell ref="G147:H147"/>
    <mergeCell ref="H149:I149"/>
    <mergeCell ref="K149:L149"/>
    <mergeCell ref="A151:G151"/>
    <mergeCell ref="K151:L151"/>
    <mergeCell ref="H151:I151"/>
    <mergeCell ref="H130:I130"/>
    <mergeCell ref="K130:L130"/>
    <mergeCell ref="G137:H137"/>
    <mergeCell ref="G138:H138"/>
    <mergeCell ref="H140:I140"/>
    <mergeCell ref="K140:L140"/>
    <mergeCell ref="G118:H118"/>
    <mergeCell ref="G119:H119"/>
    <mergeCell ref="H121:I121"/>
    <mergeCell ref="K121:L121"/>
    <mergeCell ref="G127:H127"/>
    <mergeCell ref="G128:H128"/>
    <mergeCell ref="H103:I103"/>
    <mergeCell ref="K103:L103"/>
    <mergeCell ref="G109:H109"/>
    <mergeCell ref="G110:H110"/>
    <mergeCell ref="H112:I112"/>
    <mergeCell ref="K112:L112"/>
    <mergeCell ref="G92:H92"/>
    <mergeCell ref="G93:H93"/>
    <mergeCell ref="H95:I95"/>
    <mergeCell ref="K95:L95"/>
    <mergeCell ref="G100:H100"/>
    <mergeCell ref="G101:H101"/>
    <mergeCell ref="H79:I79"/>
    <mergeCell ref="K79:L79"/>
    <mergeCell ref="G85:H85"/>
    <mergeCell ref="G86:H86"/>
    <mergeCell ref="H88:I88"/>
    <mergeCell ref="K88:L88"/>
    <mergeCell ref="G67:H67"/>
    <mergeCell ref="G68:H68"/>
    <mergeCell ref="H70:I70"/>
    <mergeCell ref="K70:L70"/>
    <mergeCell ref="G76:H76"/>
    <mergeCell ref="G77:H77"/>
    <mergeCell ref="H52:I52"/>
    <mergeCell ref="K52:L52"/>
    <mergeCell ref="G58:H58"/>
    <mergeCell ref="G59:H59"/>
    <mergeCell ref="H61:I61"/>
    <mergeCell ref="K61:L61"/>
    <mergeCell ref="G41:H41"/>
    <mergeCell ref="G42:H42"/>
    <mergeCell ref="H44:I44"/>
    <mergeCell ref="K44:L44"/>
    <mergeCell ref="G49:H49"/>
    <mergeCell ref="G50:H50"/>
    <mergeCell ref="I32:I33"/>
    <mergeCell ref="J32:J33"/>
    <mergeCell ref="K32:K33"/>
    <mergeCell ref="L32:L33"/>
    <mergeCell ref="M32:M33"/>
    <mergeCell ref="A36:M36"/>
    <mergeCell ref="B28:M28"/>
    <mergeCell ref="B29:M29"/>
    <mergeCell ref="A31:M31"/>
    <mergeCell ref="A32:B32"/>
    <mergeCell ref="C32:C33"/>
    <mergeCell ref="D32:D33"/>
    <mergeCell ref="E32:E33"/>
    <mergeCell ref="F32:F33"/>
    <mergeCell ref="G32:G33"/>
    <mergeCell ref="H32:H33"/>
    <mergeCell ref="H20:I20"/>
    <mergeCell ref="K20:M20"/>
    <mergeCell ref="K21:M21"/>
    <mergeCell ref="K22:M22"/>
    <mergeCell ref="G24:G25"/>
    <mergeCell ref="H24:H25"/>
    <mergeCell ref="I24:J24"/>
    <mergeCell ref="C16:I16"/>
    <mergeCell ref="K16:M17"/>
    <mergeCell ref="A17:B17"/>
    <mergeCell ref="C17:I17"/>
    <mergeCell ref="C18:I18"/>
    <mergeCell ref="H19:J19"/>
    <mergeCell ref="K19:M19"/>
    <mergeCell ref="C12:I12"/>
    <mergeCell ref="K12:M13"/>
    <mergeCell ref="A13:B13"/>
    <mergeCell ref="C13:I13"/>
    <mergeCell ref="C14:I14"/>
    <mergeCell ref="K14:M15"/>
    <mergeCell ref="A15:B15"/>
    <mergeCell ref="C15:I15"/>
    <mergeCell ref="A9:B9"/>
    <mergeCell ref="C9:I9"/>
    <mergeCell ref="C10:I10"/>
    <mergeCell ref="K10:M11"/>
    <mergeCell ref="A11:B11"/>
    <mergeCell ref="C11:I11"/>
    <mergeCell ref="J2:M2"/>
    <mergeCell ref="I3:M3"/>
    <mergeCell ref="J4:M4"/>
    <mergeCell ref="K6:M6"/>
    <mergeCell ref="K7:M7"/>
    <mergeCell ref="K8:M9"/>
  </mergeCells>
  <pageMargins left="0.4" right="0.2" top="0.2" bottom="0.4" header="0.2" footer="0.2"/>
  <pageSetup paperSize="9" scale="55" orientation="portrait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333"/>
  <sheetViews>
    <sheetView workbookViewId="0">
      <selection activeCell="G12" sqref="G12"/>
    </sheetView>
  </sheetViews>
  <sheetFormatPr defaultColWidth="9.109375" defaultRowHeight="13.2"/>
  <cols>
    <col min="1" max="256" width="9.109375" customWidth="1"/>
  </cols>
  <sheetData>
    <row r="1" spans="1:133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62490</v>
      </c>
      <c r="M1">
        <v>10</v>
      </c>
    </row>
    <row r="12" spans="1:133">
      <c r="A12" s="1">
        <v>1</v>
      </c>
      <c r="B12" s="1">
        <v>328</v>
      </c>
      <c r="C12" s="1">
        <v>0</v>
      </c>
      <c r="D12" s="1">
        <f>ROW(A258)</f>
        <v>258</v>
      </c>
      <c r="E12" s="1">
        <v>0</v>
      </c>
      <c r="F12" s="1" t="s">
        <v>4</v>
      </c>
      <c r="G12" s="76" t="s">
        <v>1009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0</v>
      </c>
      <c r="BK12" s="1">
        <v>0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8</v>
      </c>
      <c r="CB12" s="1" t="s">
        <v>8</v>
      </c>
      <c r="CC12" s="1" t="s">
        <v>8</v>
      </c>
      <c r="CD12" s="1" t="s">
        <v>8</v>
      </c>
      <c r="CE12" s="1" t="s">
        <v>10</v>
      </c>
      <c r="CF12" s="1">
        <v>0</v>
      </c>
      <c r="CG12" s="1">
        <v>0</v>
      </c>
      <c r="CH12" s="1">
        <v>2105352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>
      <c r="A18" s="2">
        <v>52</v>
      </c>
      <c r="B18" s="2">
        <f t="shared" ref="B18:G18" si="0">B258</f>
        <v>328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02-01</v>
      </c>
      <c r="G18" s="2" t="str">
        <f t="shared" si="0"/>
        <v xml:space="preserve"> Санузел для МГН, аптечный склад</v>
      </c>
      <c r="H18" s="2"/>
      <c r="I18" s="2"/>
      <c r="J18" s="2"/>
      <c r="K18" s="2"/>
      <c r="L18" s="2"/>
      <c r="M18" s="2"/>
      <c r="N18" s="2"/>
      <c r="O18" s="2">
        <f t="shared" ref="O18:AT18" si="1">O258</f>
        <v>242056</v>
      </c>
      <c r="P18" s="2">
        <f t="shared" si="1"/>
        <v>156144</v>
      </c>
      <c r="Q18" s="2">
        <f t="shared" si="1"/>
        <v>4541</v>
      </c>
      <c r="R18" s="2">
        <f t="shared" si="1"/>
        <v>2073</v>
      </c>
      <c r="S18" s="2">
        <f t="shared" si="1"/>
        <v>81371</v>
      </c>
      <c r="T18" s="2">
        <f t="shared" si="1"/>
        <v>0</v>
      </c>
      <c r="U18" s="2">
        <f t="shared" si="1"/>
        <v>468.74874079999984</v>
      </c>
      <c r="V18" s="2">
        <f t="shared" si="1"/>
        <v>9.8130142499999984</v>
      </c>
      <c r="W18" s="2">
        <f t="shared" si="1"/>
        <v>0</v>
      </c>
      <c r="X18" s="2">
        <f t="shared" si="1"/>
        <v>58307</v>
      </c>
      <c r="Y18" s="2">
        <f t="shared" si="1"/>
        <v>42132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342495</v>
      </c>
      <c r="AS18" s="2">
        <f t="shared" si="1"/>
        <v>340345</v>
      </c>
      <c r="AT18" s="2">
        <f t="shared" si="1"/>
        <v>2150</v>
      </c>
      <c r="AU18" s="2">
        <f t="shared" ref="AU18:BZ18" si="2">AU258</f>
        <v>0</v>
      </c>
      <c r="AV18" s="2">
        <f t="shared" si="2"/>
        <v>156144</v>
      </c>
      <c r="AW18" s="2">
        <f t="shared" si="2"/>
        <v>156144</v>
      </c>
      <c r="AX18" s="2">
        <f t="shared" si="2"/>
        <v>0</v>
      </c>
      <c r="AY18" s="2">
        <f t="shared" si="2"/>
        <v>156144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CA258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DG258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EM258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FS258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>
      <c r="A20" s="1">
        <v>3</v>
      </c>
      <c r="B20" s="1">
        <v>1</v>
      </c>
      <c r="C20" s="1"/>
      <c r="D20" s="1">
        <f>ROW(A220)</f>
        <v>220</v>
      </c>
      <c r="E20" s="1"/>
      <c r="F20" s="1" t="s">
        <v>11</v>
      </c>
      <c r="G20" s="1" t="s">
        <v>12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>
      <c r="A22" s="2">
        <v>52</v>
      </c>
      <c r="B22" s="2">
        <f t="shared" ref="B22:G22" si="7">B220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02-01-01</v>
      </c>
      <c r="G22" s="2" t="str">
        <f t="shared" si="7"/>
        <v>Санузел для инвалидов</v>
      </c>
      <c r="H22" s="2"/>
      <c r="I22" s="2"/>
      <c r="J22" s="2"/>
      <c r="K22" s="2"/>
      <c r="L22" s="2"/>
      <c r="M22" s="2"/>
      <c r="N22" s="2"/>
      <c r="O22" s="2">
        <f t="shared" ref="O22:AT22" si="8">O220</f>
        <v>242056</v>
      </c>
      <c r="P22" s="2">
        <f t="shared" si="8"/>
        <v>156144</v>
      </c>
      <c r="Q22" s="2">
        <f t="shared" si="8"/>
        <v>4541</v>
      </c>
      <c r="R22" s="2">
        <f t="shared" si="8"/>
        <v>2073</v>
      </c>
      <c r="S22" s="2">
        <f t="shared" si="8"/>
        <v>81371</v>
      </c>
      <c r="T22" s="2">
        <f t="shared" si="8"/>
        <v>0</v>
      </c>
      <c r="U22" s="2">
        <f t="shared" si="8"/>
        <v>468.74874079999984</v>
      </c>
      <c r="V22" s="2">
        <f t="shared" si="8"/>
        <v>9.8130142499999984</v>
      </c>
      <c r="W22" s="2">
        <f t="shared" si="8"/>
        <v>0</v>
      </c>
      <c r="X22" s="2">
        <f t="shared" si="8"/>
        <v>58307</v>
      </c>
      <c r="Y22" s="2">
        <f t="shared" si="8"/>
        <v>42132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342495</v>
      </c>
      <c r="AS22" s="2">
        <f t="shared" si="8"/>
        <v>340345</v>
      </c>
      <c r="AT22" s="2">
        <f t="shared" si="8"/>
        <v>2150</v>
      </c>
      <c r="AU22" s="2">
        <f t="shared" ref="AU22:BZ22" si="9">AU220</f>
        <v>0</v>
      </c>
      <c r="AV22" s="2">
        <f t="shared" si="9"/>
        <v>156144</v>
      </c>
      <c r="AW22" s="2">
        <f t="shared" si="9"/>
        <v>156144</v>
      </c>
      <c r="AX22" s="2">
        <f t="shared" si="9"/>
        <v>0</v>
      </c>
      <c r="AY22" s="2">
        <f t="shared" si="9"/>
        <v>156144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CA220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DG220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EM220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FS220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>
      <c r="A24" s="1">
        <v>4</v>
      </c>
      <c r="B24" s="1">
        <v>1</v>
      </c>
      <c r="C24" s="1"/>
      <c r="D24" s="1">
        <f>ROW(A42)</f>
        <v>42</v>
      </c>
      <c r="E24" s="1"/>
      <c r="F24" s="1" t="s">
        <v>13</v>
      </c>
      <c r="G24" s="1" t="s">
        <v>14</v>
      </c>
      <c r="H24" s="1" t="s">
        <v>3</v>
      </c>
      <c r="I24" s="1">
        <v>0</v>
      </c>
      <c r="J24" s="1"/>
      <c r="K24" s="1">
        <v>-1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>
      <c r="A26" s="2">
        <v>52</v>
      </c>
      <c r="B26" s="2">
        <f t="shared" ref="B26:G26" si="14">B42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1</v>
      </c>
      <c r="G26" s="2" t="str">
        <f t="shared" si="14"/>
        <v>Демонтажные работы</v>
      </c>
      <c r="H26" s="2"/>
      <c r="I26" s="2"/>
      <c r="J26" s="2"/>
      <c r="K26" s="2"/>
      <c r="L26" s="2"/>
      <c r="M26" s="2"/>
      <c r="N26" s="2"/>
      <c r="O26" s="2">
        <f t="shared" ref="O26:AT26" si="15">O42</f>
        <v>9321</v>
      </c>
      <c r="P26" s="2">
        <f t="shared" si="15"/>
        <v>2316</v>
      </c>
      <c r="Q26" s="2">
        <f t="shared" si="15"/>
        <v>973</v>
      </c>
      <c r="R26" s="2">
        <f t="shared" si="15"/>
        <v>354</v>
      </c>
      <c r="S26" s="2">
        <f t="shared" si="15"/>
        <v>6032</v>
      </c>
      <c r="T26" s="2">
        <f t="shared" si="15"/>
        <v>0</v>
      </c>
      <c r="U26" s="2">
        <f t="shared" si="15"/>
        <v>36.502629500000005</v>
      </c>
      <c r="V26" s="2">
        <f t="shared" si="15"/>
        <v>1.7183695000000001</v>
      </c>
      <c r="W26" s="2">
        <f t="shared" si="15"/>
        <v>0</v>
      </c>
      <c r="X26" s="2">
        <f t="shared" si="15"/>
        <v>4097</v>
      </c>
      <c r="Y26" s="2">
        <f t="shared" si="15"/>
        <v>3382</v>
      </c>
      <c r="Z26" s="2">
        <f t="shared" si="15"/>
        <v>0</v>
      </c>
      <c r="AA26" s="2">
        <f t="shared" si="15"/>
        <v>0</v>
      </c>
      <c r="AB26" s="2">
        <f t="shared" si="15"/>
        <v>9321</v>
      </c>
      <c r="AC26" s="2">
        <f t="shared" si="15"/>
        <v>2316</v>
      </c>
      <c r="AD26" s="2">
        <f t="shared" si="15"/>
        <v>973</v>
      </c>
      <c r="AE26" s="2">
        <f t="shared" si="15"/>
        <v>354</v>
      </c>
      <c r="AF26" s="2">
        <f t="shared" si="15"/>
        <v>6032</v>
      </c>
      <c r="AG26" s="2">
        <f t="shared" si="15"/>
        <v>0</v>
      </c>
      <c r="AH26" s="2">
        <f t="shared" si="15"/>
        <v>36.502629500000005</v>
      </c>
      <c r="AI26" s="2">
        <f t="shared" si="15"/>
        <v>1.7183695000000001</v>
      </c>
      <c r="AJ26" s="2">
        <f t="shared" si="15"/>
        <v>0</v>
      </c>
      <c r="AK26" s="2">
        <f t="shared" si="15"/>
        <v>4097</v>
      </c>
      <c r="AL26" s="2">
        <f t="shared" si="15"/>
        <v>3382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16800</v>
      </c>
      <c r="AS26" s="2">
        <f t="shared" si="15"/>
        <v>16800</v>
      </c>
      <c r="AT26" s="2">
        <f t="shared" si="15"/>
        <v>0</v>
      </c>
      <c r="AU26" s="2">
        <f t="shared" ref="AU26:BZ26" si="16">AU42</f>
        <v>0</v>
      </c>
      <c r="AV26" s="2">
        <f t="shared" si="16"/>
        <v>2316</v>
      </c>
      <c r="AW26" s="2">
        <f t="shared" si="16"/>
        <v>2316</v>
      </c>
      <c r="AX26" s="2">
        <f t="shared" si="16"/>
        <v>0</v>
      </c>
      <c r="AY26" s="2">
        <f t="shared" si="16"/>
        <v>2316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CA42</f>
        <v>16800</v>
      </c>
      <c r="CB26" s="2">
        <f t="shared" si="17"/>
        <v>16800</v>
      </c>
      <c r="CC26" s="2">
        <f t="shared" si="17"/>
        <v>0</v>
      </c>
      <c r="CD26" s="2">
        <f t="shared" si="17"/>
        <v>0</v>
      </c>
      <c r="CE26" s="2">
        <f t="shared" si="17"/>
        <v>2316</v>
      </c>
      <c r="CF26" s="2">
        <f t="shared" si="17"/>
        <v>2316</v>
      </c>
      <c r="CG26" s="2">
        <f t="shared" si="17"/>
        <v>0</v>
      </c>
      <c r="CH26" s="2">
        <f t="shared" si="17"/>
        <v>2316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DG42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EM42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FS42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>
      <c r="A28">
        <v>17</v>
      </c>
      <c r="B28">
        <v>1</v>
      </c>
      <c r="C28">
        <f>ROW(SmtRes!A4)</f>
        <v>4</v>
      </c>
      <c r="D28">
        <f>ROW(EtalonRes!A4)</f>
        <v>4</v>
      </c>
      <c r="E28" t="s">
        <v>13</v>
      </c>
      <c r="F28" t="s">
        <v>15</v>
      </c>
      <c r="G28" t="s">
        <v>16</v>
      </c>
      <c r="H28" t="s">
        <v>17</v>
      </c>
      <c r="I28">
        <v>0.495</v>
      </c>
      <c r="J28">
        <v>0</v>
      </c>
      <c r="O28">
        <f t="shared" ref="O28:O40" si="21">ROUND(CP28,0)</f>
        <v>1048</v>
      </c>
      <c r="P28">
        <f t="shared" ref="P28:P40" si="22">ROUND(CQ28*I28,0)</f>
        <v>0</v>
      </c>
      <c r="Q28">
        <f t="shared" ref="Q28:Q40" si="23">ROUND(CR28*I28,0)</f>
        <v>343</v>
      </c>
      <c r="R28">
        <f t="shared" ref="R28:R40" si="24">ROUND(CS28*I28,0)</f>
        <v>107</v>
      </c>
      <c r="S28">
        <f t="shared" ref="S28:S40" si="25">ROUND(CT28*I28,0)</f>
        <v>705</v>
      </c>
      <c r="T28">
        <f t="shared" ref="T28:T40" si="26">ROUND(CU28*I28,0)</f>
        <v>0</v>
      </c>
      <c r="U28">
        <f t="shared" ref="U28:U40" si="27">CV28*I28</f>
        <v>4.0788000000000002</v>
      </c>
      <c r="V28">
        <f t="shared" ref="V28:V40" si="28">CW28*I28</f>
        <v>0.56924999999999992</v>
      </c>
      <c r="W28">
        <f t="shared" ref="W28:W40" si="29">ROUND(CX28*I28,0)</f>
        <v>0</v>
      </c>
      <c r="X28">
        <f t="shared" ref="X28:X40" si="30">ROUND(CY28,0)</f>
        <v>560</v>
      </c>
      <c r="Y28">
        <f t="shared" ref="Y28:Y40" si="31">ROUND(CZ28,0)</f>
        <v>438</v>
      </c>
      <c r="AA28">
        <v>48370320</v>
      </c>
      <c r="AB28">
        <f t="shared" ref="AB28:AB40" si="32">ROUND((AC28+AD28+AF28),2)</f>
        <v>140.4</v>
      </c>
      <c r="AC28">
        <f t="shared" ref="AC28:AC39" si="33">ROUND((ES28),2)</f>
        <v>0</v>
      </c>
      <c r="AD28">
        <f t="shared" ref="AD28:AD37" si="34">ROUND((((ET28)-(EU28))+AE28),2)</f>
        <v>72.17</v>
      </c>
      <c r="AE28">
        <f t="shared" ref="AE28:AE37" si="35">ROUND((EU28),2)</f>
        <v>10.35</v>
      </c>
      <c r="AF28">
        <f t="shared" ref="AF28:AF37" si="36">ROUND((EV28),2)</f>
        <v>68.23</v>
      </c>
      <c r="AG28">
        <f t="shared" ref="AG28:AG40" si="37">ROUND((AP28),2)</f>
        <v>0</v>
      </c>
      <c r="AH28">
        <f t="shared" ref="AH28:AH37" si="38">(EW28)</f>
        <v>8.24</v>
      </c>
      <c r="AI28">
        <f t="shared" ref="AI28:AI37" si="39">(EX28)</f>
        <v>1.1499999999999999</v>
      </c>
      <c r="AJ28">
        <f t="shared" ref="AJ28:AJ40" si="40">ROUND((AS28),2)</f>
        <v>0</v>
      </c>
      <c r="AK28">
        <v>140.4</v>
      </c>
      <c r="AL28">
        <v>0</v>
      </c>
      <c r="AM28">
        <v>72.17</v>
      </c>
      <c r="AN28">
        <v>10.35</v>
      </c>
      <c r="AO28">
        <v>68.23</v>
      </c>
      <c r="AP28">
        <v>0</v>
      </c>
      <c r="AQ28">
        <v>8.24</v>
      </c>
      <c r="AR28">
        <v>1.1499999999999999</v>
      </c>
      <c r="AS28">
        <v>0</v>
      </c>
      <c r="AT28">
        <v>69</v>
      </c>
      <c r="AU28">
        <v>54</v>
      </c>
      <c r="AV28">
        <v>1</v>
      </c>
      <c r="AW28">
        <v>1</v>
      </c>
      <c r="AZ28">
        <v>1</v>
      </c>
      <c r="BA28">
        <v>20.88</v>
      </c>
      <c r="BB28">
        <v>9.61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18</v>
      </c>
      <c r="BM28">
        <v>46001</v>
      </c>
      <c r="BN28">
        <v>0</v>
      </c>
      <c r="BO28" t="s">
        <v>15</v>
      </c>
      <c r="BP28">
        <v>1</v>
      </c>
      <c r="BQ28">
        <v>2</v>
      </c>
      <c r="BR28">
        <v>0</v>
      </c>
      <c r="BS28">
        <v>20.88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110</v>
      </c>
      <c r="CA28">
        <v>70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ref="CP28:CP40" si="41">(P28+Q28+S28)</f>
        <v>1048</v>
      </c>
      <c r="CQ28">
        <f t="shared" ref="CQ28:CQ40" si="42">AC28*BC28</f>
        <v>0</v>
      </c>
      <c r="CR28">
        <f t="shared" ref="CR28:CR40" si="43">AD28*BB28</f>
        <v>693.55369999999994</v>
      </c>
      <c r="CS28">
        <f t="shared" ref="CS28:CS40" si="44">AE28*BS28</f>
        <v>216.10799999999998</v>
      </c>
      <c r="CT28">
        <f t="shared" ref="CT28:CT40" si="45">AF28*BA28</f>
        <v>1424.6424</v>
      </c>
      <c r="CU28">
        <f t="shared" ref="CU28:CU40" si="46">AG28</f>
        <v>0</v>
      </c>
      <c r="CV28">
        <f t="shared" ref="CV28:CV40" si="47">AH28</f>
        <v>8.24</v>
      </c>
      <c r="CW28">
        <f t="shared" ref="CW28:CW40" si="48">AI28</f>
        <v>1.1499999999999999</v>
      </c>
      <c r="CX28">
        <f t="shared" ref="CX28:CX40" si="49">AJ28</f>
        <v>0</v>
      </c>
      <c r="CY28">
        <f t="shared" ref="CY28:CY40" si="50">(((S28+R28)*AT28)/100)</f>
        <v>560.28</v>
      </c>
      <c r="CZ28">
        <f t="shared" ref="CZ28:CZ40" si="51">(((S28+R28)*AU28)/100)</f>
        <v>438.48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17</v>
      </c>
      <c r="DW28" t="s">
        <v>17</v>
      </c>
      <c r="DX28">
        <v>1</v>
      </c>
      <c r="EE28">
        <v>45269244</v>
      </c>
      <c r="EF28">
        <v>2</v>
      </c>
      <c r="EG28" t="s">
        <v>19</v>
      </c>
      <c r="EH28">
        <v>0</v>
      </c>
      <c r="EI28" t="s">
        <v>3</v>
      </c>
      <c r="EJ28">
        <v>1</v>
      </c>
      <c r="EK28">
        <v>46001</v>
      </c>
      <c r="EL28" t="s">
        <v>20</v>
      </c>
      <c r="EM28" t="s">
        <v>21</v>
      </c>
      <c r="EO28" t="s">
        <v>3</v>
      </c>
      <c r="EQ28">
        <v>0</v>
      </c>
      <c r="ER28">
        <v>140.4</v>
      </c>
      <c r="ES28">
        <v>0</v>
      </c>
      <c r="ET28">
        <v>72.17</v>
      </c>
      <c r="EU28">
        <v>10.35</v>
      </c>
      <c r="EV28">
        <v>68.23</v>
      </c>
      <c r="EW28">
        <v>8.24</v>
      </c>
      <c r="EX28">
        <v>1.1499999999999999</v>
      </c>
      <c r="EY28">
        <v>0</v>
      </c>
      <c r="FQ28">
        <v>0</v>
      </c>
      <c r="FR28">
        <f t="shared" ref="FR28:FR40" si="52">ROUND(IF(AND(BH28=3,BI28=3),P28,0),0)</f>
        <v>0</v>
      </c>
      <c r="FS28">
        <v>0</v>
      </c>
      <c r="FT28" t="s">
        <v>22</v>
      </c>
      <c r="FU28" t="s">
        <v>23</v>
      </c>
      <c r="FX28">
        <v>69.3</v>
      </c>
      <c r="FY28">
        <v>53.55</v>
      </c>
      <c r="GA28" t="s">
        <v>3</v>
      </c>
      <c r="GD28">
        <v>0</v>
      </c>
      <c r="GF28">
        <v>-1994711737</v>
      </c>
      <c r="GG28">
        <v>2</v>
      </c>
      <c r="GH28">
        <v>1</v>
      </c>
      <c r="GI28">
        <v>2</v>
      </c>
      <c r="GJ28">
        <v>0</v>
      </c>
      <c r="GK28">
        <f>ROUND(R28*(R12)/100,0)</f>
        <v>0</v>
      </c>
      <c r="GL28">
        <f t="shared" ref="GL28:GL40" si="53">ROUND(IF(AND(BH28=3,BI28=3,FS28&lt;&gt;0),P28,0),0)</f>
        <v>0</v>
      </c>
      <c r="GM28">
        <f t="shared" ref="GM28:GM40" si="54">ROUND(O28+X28+Y28+GK28,0)+GX28</f>
        <v>2046</v>
      </c>
      <c r="GN28">
        <f t="shared" ref="GN28:GN40" si="55">IF(OR(BI28=0,BI28=1),ROUND(O28+X28+Y28+GK28,0),0)</f>
        <v>2046</v>
      </c>
      <c r="GO28">
        <f t="shared" ref="GO28:GO40" si="56">IF(BI28=2,ROUND(O28+X28+Y28+GK28,0),0)</f>
        <v>0</v>
      </c>
      <c r="GP28">
        <f t="shared" ref="GP28:GP40" si="57">IF(BI28=4,ROUND(O28+X28+Y28+GK28,0)+GX28,0)</f>
        <v>0</v>
      </c>
      <c r="GR28">
        <v>0</v>
      </c>
      <c r="GS28">
        <v>3</v>
      </c>
      <c r="GT28">
        <v>0</v>
      </c>
      <c r="GU28" t="s">
        <v>3</v>
      </c>
      <c r="GV28">
        <f t="shared" ref="GV28:GV40" si="58">ROUND(GT28,2)</f>
        <v>0</v>
      </c>
      <c r="GW28">
        <v>1</v>
      </c>
      <c r="GX28">
        <f t="shared" ref="GX28:GX40" si="59">ROUND(GV28*GW28*I28,0)</f>
        <v>0</v>
      </c>
      <c r="HA28">
        <v>0</v>
      </c>
      <c r="HB28">
        <v>0</v>
      </c>
      <c r="IK28">
        <v>0</v>
      </c>
    </row>
    <row r="29" spans="1:245">
      <c r="A29">
        <v>17</v>
      </c>
      <c r="B29">
        <v>1</v>
      </c>
      <c r="C29">
        <f>ROW(SmtRes!A8)</f>
        <v>8</v>
      </c>
      <c r="D29">
        <f>ROW(EtalonRes!A8)</f>
        <v>8</v>
      </c>
      <c r="E29" t="s">
        <v>24</v>
      </c>
      <c r="F29" t="s">
        <v>25</v>
      </c>
      <c r="G29" t="s">
        <v>26</v>
      </c>
      <c r="H29" t="s">
        <v>17</v>
      </c>
      <c r="I29">
        <v>0.1</v>
      </c>
      <c r="J29">
        <v>0</v>
      </c>
      <c r="O29">
        <f t="shared" si="21"/>
        <v>368</v>
      </c>
      <c r="P29">
        <f t="shared" si="22"/>
        <v>0</v>
      </c>
      <c r="Q29">
        <f t="shared" si="23"/>
        <v>153</v>
      </c>
      <c r="R29">
        <f t="shared" si="24"/>
        <v>48</v>
      </c>
      <c r="S29">
        <f t="shared" si="25"/>
        <v>215</v>
      </c>
      <c r="T29">
        <f t="shared" si="26"/>
        <v>0</v>
      </c>
      <c r="U29">
        <f t="shared" si="27"/>
        <v>1.2300000000000002</v>
      </c>
      <c r="V29">
        <f t="shared" si="28"/>
        <v>0.254</v>
      </c>
      <c r="W29">
        <f t="shared" si="29"/>
        <v>0</v>
      </c>
      <c r="X29">
        <f t="shared" si="30"/>
        <v>181</v>
      </c>
      <c r="Y29">
        <f t="shared" si="31"/>
        <v>142</v>
      </c>
      <c r="AA29">
        <v>48370320</v>
      </c>
      <c r="AB29">
        <f t="shared" si="32"/>
        <v>262.48</v>
      </c>
      <c r="AC29">
        <f t="shared" si="33"/>
        <v>0</v>
      </c>
      <c r="AD29">
        <f t="shared" si="34"/>
        <v>159.41</v>
      </c>
      <c r="AE29">
        <f t="shared" si="35"/>
        <v>22.86</v>
      </c>
      <c r="AF29">
        <f t="shared" si="36"/>
        <v>103.07</v>
      </c>
      <c r="AG29">
        <f t="shared" si="37"/>
        <v>0</v>
      </c>
      <c r="AH29">
        <f t="shared" si="38"/>
        <v>12.3</v>
      </c>
      <c r="AI29">
        <f t="shared" si="39"/>
        <v>2.54</v>
      </c>
      <c r="AJ29">
        <f t="shared" si="40"/>
        <v>0</v>
      </c>
      <c r="AK29">
        <v>262.48</v>
      </c>
      <c r="AL29">
        <v>0</v>
      </c>
      <c r="AM29">
        <v>159.41</v>
      </c>
      <c r="AN29">
        <v>22.86</v>
      </c>
      <c r="AO29">
        <v>103.07</v>
      </c>
      <c r="AP29">
        <v>0</v>
      </c>
      <c r="AQ29">
        <v>12.3</v>
      </c>
      <c r="AR29">
        <v>2.54</v>
      </c>
      <c r="AS29">
        <v>0</v>
      </c>
      <c r="AT29">
        <v>69</v>
      </c>
      <c r="AU29">
        <v>54</v>
      </c>
      <c r="AV29">
        <v>1</v>
      </c>
      <c r="AW29">
        <v>1</v>
      </c>
      <c r="AZ29">
        <v>1</v>
      </c>
      <c r="BA29">
        <v>20.88</v>
      </c>
      <c r="BB29">
        <v>9.6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27</v>
      </c>
      <c r="BM29">
        <v>46001</v>
      </c>
      <c r="BN29">
        <v>0</v>
      </c>
      <c r="BO29" t="s">
        <v>25</v>
      </c>
      <c r="BP29">
        <v>1</v>
      </c>
      <c r="BQ29">
        <v>2</v>
      </c>
      <c r="BR29">
        <v>0</v>
      </c>
      <c r="BS29">
        <v>20.88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110</v>
      </c>
      <c r="CA29">
        <v>70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41"/>
        <v>368</v>
      </c>
      <c r="CQ29">
        <f t="shared" si="42"/>
        <v>0</v>
      </c>
      <c r="CR29">
        <f t="shared" si="43"/>
        <v>1530.336</v>
      </c>
      <c r="CS29">
        <f t="shared" si="44"/>
        <v>477.31679999999994</v>
      </c>
      <c r="CT29">
        <f t="shared" si="45"/>
        <v>2152.1016</v>
      </c>
      <c r="CU29">
        <f t="shared" si="46"/>
        <v>0</v>
      </c>
      <c r="CV29">
        <f t="shared" si="47"/>
        <v>12.3</v>
      </c>
      <c r="CW29">
        <f t="shared" si="48"/>
        <v>2.54</v>
      </c>
      <c r="CX29">
        <f t="shared" si="49"/>
        <v>0</v>
      </c>
      <c r="CY29">
        <f t="shared" si="50"/>
        <v>181.47</v>
      </c>
      <c r="CZ29">
        <f t="shared" si="51"/>
        <v>142.02000000000001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17</v>
      </c>
      <c r="DW29" t="s">
        <v>17</v>
      </c>
      <c r="DX29">
        <v>1</v>
      </c>
      <c r="EE29">
        <v>45269244</v>
      </c>
      <c r="EF29">
        <v>2</v>
      </c>
      <c r="EG29" t="s">
        <v>19</v>
      </c>
      <c r="EH29">
        <v>0</v>
      </c>
      <c r="EI29" t="s">
        <v>3</v>
      </c>
      <c r="EJ29">
        <v>1</v>
      </c>
      <c r="EK29">
        <v>46001</v>
      </c>
      <c r="EL29" t="s">
        <v>20</v>
      </c>
      <c r="EM29" t="s">
        <v>21</v>
      </c>
      <c r="EO29" t="s">
        <v>3</v>
      </c>
      <c r="EQ29">
        <v>0</v>
      </c>
      <c r="ER29">
        <v>262.48</v>
      </c>
      <c r="ES29">
        <v>0</v>
      </c>
      <c r="ET29">
        <v>159.41</v>
      </c>
      <c r="EU29">
        <v>22.86</v>
      </c>
      <c r="EV29">
        <v>103.07</v>
      </c>
      <c r="EW29">
        <v>12.3</v>
      </c>
      <c r="EX29">
        <v>2.54</v>
      </c>
      <c r="EY29">
        <v>0</v>
      </c>
      <c r="FQ29">
        <v>0</v>
      </c>
      <c r="FR29">
        <f t="shared" si="52"/>
        <v>0</v>
      </c>
      <c r="FS29">
        <v>0</v>
      </c>
      <c r="FT29" t="s">
        <v>22</v>
      </c>
      <c r="FU29" t="s">
        <v>23</v>
      </c>
      <c r="FX29">
        <v>69.3</v>
      </c>
      <c r="FY29">
        <v>53.55</v>
      </c>
      <c r="GA29" t="s">
        <v>3</v>
      </c>
      <c r="GD29">
        <v>0</v>
      </c>
      <c r="GF29">
        <v>259418416</v>
      </c>
      <c r="GG29">
        <v>2</v>
      </c>
      <c r="GH29">
        <v>1</v>
      </c>
      <c r="GI29">
        <v>2</v>
      </c>
      <c r="GJ29">
        <v>0</v>
      </c>
      <c r="GK29">
        <f>ROUND(R29*(R12)/100,0)</f>
        <v>0</v>
      </c>
      <c r="GL29">
        <f t="shared" si="53"/>
        <v>0</v>
      </c>
      <c r="GM29">
        <f t="shared" si="54"/>
        <v>691</v>
      </c>
      <c r="GN29">
        <f t="shared" si="55"/>
        <v>691</v>
      </c>
      <c r="GO29">
        <f t="shared" si="56"/>
        <v>0</v>
      </c>
      <c r="GP29">
        <f t="shared" si="57"/>
        <v>0</v>
      </c>
      <c r="GR29">
        <v>0</v>
      </c>
      <c r="GS29">
        <v>3</v>
      </c>
      <c r="GT29">
        <v>0</v>
      </c>
      <c r="GU29" t="s">
        <v>3</v>
      </c>
      <c r="GV29">
        <f t="shared" si="58"/>
        <v>0</v>
      </c>
      <c r="GW29">
        <v>1</v>
      </c>
      <c r="GX29">
        <f t="shared" si="59"/>
        <v>0</v>
      </c>
      <c r="HA29">
        <v>0</v>
      </c>
      <c r="HB29">
        <v>0</v>
      </c>
      <c r="IK29">
        <v>0</v>
      </c>
    </row>
    <row r="30" spans="1:245">
      <c r="A30">
        <v>17</v>
      </c>
      <c r="B30">
        <v>1</v>
      </c>
      <c r="C30">
        <f>ROW(SmtRes!A19)</f>
        <v>19</v>
      </c>
      <c r="D30">
        <f>ROW(EtalonRes!A19)</f>
        <v>19</v>
      </c>
      <c r="E30" t="s">
        <v>28</v>
      </c>
      <c r="F30" t="s">
        <v>29</v>
      </c>
      <c r="G30" t="s">
        <v>30</v>
      </c>
      <c r="H30" t="s">
        <v>31</v>
      </c>
      <c r="I30">
        <v>0.01</v>
      </c>
      <c r="J30">
        <v>0</v>
      </c>
      <c r="O30">
        <f t="shared" si="21"/>
        <v>1061</v>
      </c>
      <c r="P30">
        <f t="shared" si="22"/>
        <v>776</v>
      </c>
      <c r="Q30">
        <f t="shared" si="23"/>
        <v>5</v>
      </c>
      <c r="R30">
        <f t="shared" si="24"/>
        <v>1</v>
      </c>
      <c r="S30">
        <f t="shared" si="25"/>
        <v>280</v>
      </c>
      <c r="T30">
        <f t="shared" si="26"/>
        <v>0</v>
      </c>
      <c r="U30">
        <f t="shared" si="27"/>
        <v>1.6588000000000001</v>
      </c>
      <c r="V30">
        <f t="shared" si="28"/>
        <v>4.7000000000000002E-3</v>
      </c>
      <c r="W30">
        <f t="shared" si="29"/>
        <v>0</v>
      </c>
      <c r="X30">
        <f t="shared" si="30"/>
        <v>169</v>
      </c>
      <c r="Y30">
        <f t="shared" si="31"/>
        <v>177</v>
      </c>
      <c r="AA30">
        <v>48370320</v>
      </c>
      <c r="AB30">
        <f t="shared" si="32"/>
        <v>10554.59</v>
      </c>
      <c r="AC30">
        <f t="shared" si="33"/>
        <v>9162.24</v>
      </c>
      <c r="AD30">
        <f t="shared" si="34"/>
        <v>53.7</v>
      </c>
      <c r="AE30">
        <f t="shared" si="35"/>
        <v>4.2300000000000004</v>
      </c>
      <c r="AF30">
        <f t="shared" si="36"/>
        <v>1338.65</v>
      </c>
      <c r="AG30">
        <f t="shared" si="37"/>
        <v>0</v>
      </c>
      <c r="AH30">
        <f t="shared" si="38"/>
        <v>165.88</v>
      </c>
      <c r="AI30">
        <f t="shared" si="39"/>
        <v>0.47</v>
      </c>
      <c r="AJ30">
        <f t="shared" si="40"/>
        <v>0</v>
      </c>
      <c r="AK30">
        <v>10554.59</v>
      </c>
      <c r="AL30">
        <v>9162.24</v>
      </c>
      <c r="AM30">
        <v>53.7</v>
      </c>
      <c r="AN30">
        <v>4.2300000000000004</v>
      </c>
      <c r="AO30">
        <v>1338.65</v>
      </c>
      <c r="AP30">
        <v>0</v>
      </c>
      <c r="AQ30">
        <v>165.88</v>
      </c>
      <c r="AR30">
        <v>0.47</v>
      </c>
      <c r="AS30">
        <v>0</v>
      </c>
      <c r="AT30">
        <v>60</v>
      </c>
      <c r="AU30">
        <v>63</v>
      </c>
      <c r="AV30">
        <v>1</v>
      </c>
      <c r="AW30">
        <v>1</v>
      </c>
      <c r="AZ30">
        <v>1</v>
      </c>
      <c r="BA30">
        <v>20.88</v>
      </c>
      <c r="BB30">
        <v>9.09</v>
      </c>
      <c r="BC30">
        <v>8.4700000000000006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32</v>
      </c>
      <c r="BM30">
        <v>53001</v>
      </c>
      <c r="BN30">
        <v>0</v>
      </c>
      <c r="BO30" t="s">
        <v>29</v>
      </c>
      <c r="BP30">
        <v>1</v>
      </c>
      <c r="BQ30">
        <v>6</v>
      </c>
      <c r="BR30">
        <v>0</v>
      </c>
      <c r="BS30">
        <v>20.88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86</v>
      </c>
      <c r="CA30">
        <v>70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41"/>
        <v>1061</v>
      </c>
      <c r="CQ30">
        <f t="shared" si="42"/>
        <v>77604.1728</v>
      </c>
      <c r="CR30">
        <f t="shared" si="43"/>
        <v>488.13300000000004</v>
      </c>
      <c r="CS30">
        <f t="shared" si="44"/>
        <v>88.322400000000002</v>
      </c>
      <c r="CT30">
        <f t="shared" si="45"/>
        <v>27951.011999999999</v>
      </c>
      <c r="CU30">
        <f t="shared" si="46"/>
        <v>0</v>
      </c>
      <c r="CV30">
        <f t="shared" si="47"/>
        <v>165.88</v>
      </c>
      <c r="CW30">
        <f t="shared" si="48"/>
        <v>0.47</v>
      </c>
      <c r="CX30">
        <f t="shared" si="49"/>
        <v>0</v>
      </c>
      <c r="CY30">
        <f t="shared" si="50"/>
        <v>168.6</v>
      </c>
      <c r="CZ30">
        <f t="shared" si="51"/>
        <v>177.03</v>
      </c>
      <c r="DC30" t="s">
        <v>3</v>
      </c>
      <c r="DD30" t="s">
        <v>3</v>
      </c>
      <c r="DE30" t="s">
        <v>3</v>
      </c>
      <c r="DF30" t="s">
        <v>3</v>
      </c>
      <c r="DG30" t="s">
        <v>3</v>
      </c>
      <c r="DH30" t="s">
        <v>3</v>
      </c>
      <c r="DI30" t="s">
        <v>3</v>
      </c>
      <c r="DJ30" t="s">
        <v>3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31</v>
      </c>
      <c r="DW30" t="s">
        <v>31</v>
      </c>
      <c r="DX30">
        <v>1</v>
      </c>
      <c r="EE30">
        <v>45269251</v>
      </c>
      <c r="EF30">
        <v>6</v>
      </c>
      <c r="EG30" t="s">
        <v>33</v>
      </c>
      <c r="EH30">
        <v>0</v>
      </c>
      <c r="EI30" t="s">
        <v>3</v>
      </c>
      <c r="EJ30">
        <v>1</v>
      </c>
      <c r="EK30">
        <v>53001</v>
      </c>
      <c r="EL30" t="s">
        <v>34</v>
      </c>
      <c r="EM30" t="s">
        <v>35</v>
      </c>
      <c r="EO30" t="s">
        <v>3</v>
      </c>
      <c r="EQ30">
        <v>0</v>
      </c>
      <c r="ER30">
        <v>10554.59</v>
      </c>
      <c r="ES30">
        <v>9162.24</v>
      </c>
      <c r="ET30">
        <v>53.7</v>
      </c>
      <c r="EU30">
        <v>4.2300000000000004</v>
      </c>
      <c r="EV30">
        <v>1338.65</v>
      </c>
      <c r="EW30">
        <v>165.88</v>
      </c>
      <c r="EX30">
        <v>0.47</v>
      </c>
      <c r="EY30">
        <v>0</v>
      </c>
      <c r="FQ30">
        <v>0</v>
      </c>
      <c r="FR30">
        <f t="shared" si="52"/>
        <v>0</v>
      </c>
      <c r="FS30">
        <v>0</v>
      </c>
      <c r="FT30" t="s">
        <v>36</v>
      </c>
      <c r="FU30" t="s">
        <v>37</v>
      </c>
      <c r="FX30">
        <v>60.2</v>
      </c>
      <c r="FY30">
        <v>63</v>
      </c>
      <c r="GA30" t="s">
        <v>3</v>
      </c>
      <c r="GD30">
        <v>0</v>
      </c>
      <c r="GF30">
        <v>-1501235591</v>
      </c>
      <c r="GG30">
        <v>2</v>
      </c>
      <c r="GH30">
        <v>1</v>
      </c>
      <c r="GI30">
        <v>2</v>
      </c>
      <c r="GJ30">
        <v>0</v>
      </c>
      <c r="GK30">
        <f>ROUND(R30*(R12)/100,0)</f>
        <v>0</v>
      </c>
      <c r="GL30">
        <f t="shared" si="53"/>
        <v>0</v>
      </c>
      <c r="GM30">
        <f t="shared" si="54"/>
        <v>1407</v>
      </c>
      <c r="GN30">
        <f t="shared" si="55"/>
        <v>1407</v>
      </c>
      <c r="GO30">
        <f t="shared" si="56"/>
        <v>0</v>
      </c>
      <c r="GP30">
        <f t="shared" si="57"/>
        <v>0</v>
      </c>
      <c r="GR30">
        <v>0</v>
      </c>
      <c r="GS30">
        <v>3</v>
      </c>
      <c r="GT30">
        <v>0</v>
      </c>
      <c r="GU30" t="s">
        <v>3</v>
      </c>
      <c r="GV30">
        <f t="shared" si="58"/>
        <v>0</v>
      </c>
      <c r="GW30">
        <v>1</v>
      </c>
      <c r="GX30">
        <f t="shared" si="59"/>
        <v>0</v>
      </c>
      <c r="HA30">
        <v>0</v>
      </c>
      <c r="HB30">
        <v>0</v>
      </c>
      <c r="IK30">
        <v>0</v>
      </c>
    </row>
    <row r="31" spans="1:245">
      <c r="A31">
        <v>17</v>
      </c>
      <c r="B31">
        <v>1</v>
      </c>
      <c r="C31">
        <f>ROW(SmtRes!A24)</f>
        <v>24</v>
      </c>
      <c r="D31">
        <f>ROW(EtalonRes!A24)</f>
        <v>24</v>
      </c>
      <c r="E31" t="s">
        <v>38</v>
      </c>
      <c r="F31" t="s">
        <v>39</v>
      </c>
      <c r="G31" t="s">
        <v>40</v>
      </c>
      <c r="H31" t="s">
        <v>41</v>
      </c>
      <c r="I31">
        <f>ROUND(15.34/100,9)</f>
        <v>0.15340000000000001</v>
      </c>
      <c r="J31">
        <v>0</v>
      </c>
      <c r="O31">
        <f t="shared" si="21"/>
        <v>1921</v>
      </c>
      <c r="P31">
        <f t="shared" si="22"/>
        <v>0</v>
      </c>
      <c r="Q31">
        <f t="shared" si="23"/>
        <v>169</v>
      </c>
      <c r="R31">
        <f t="shared" si="24"/>
        <v>61</v>
      </c>
      <c r="S31">
        <f t="shared" si="25"/>
        <v>1752</v>
      </c>
      <c r="T31">
        <f t="shared" si="26"/>
        <v>0</v>
      </c>
      <c r="U31">
        <f t="shared" si="27"/>
        <v>11.39762</v>
      </c>
      <c r="V31">
        <f t="shared" si="28"/>
        <v>0.30526600000000004</v>
      </c>
      <c r="W31">
        <f t="shared" si="29"/>
        <v>0</v>
      </c>
      <c r="X31">
        <f t="shared" si="30"/>
        <v>979</v>
      </c>
      <c r="Y31">
        <f t="shared" si="31"/>
        <v>816</v>
      </c>
      <c r="AA31">
        <v>48370320</v>
      </c>
      <c r="AB31">
        <f t="shared" si="32"/>
        <v>661.01</v>
      </c>
      <c r="AC31">
        <f t="shared" si="33"/>
        <v>0</v>
      </c>
      <c r="AD31">
        <f t="shared" si="34"/>
        <v>114.16</v>
      </c>
      <c r="AE31">
        <f t="shared" si="35"/>
        <v>19</v>
      </c>
      <c r="AF31">
        <f t="shared" si="36"/>
        <v>546.85</v>
      </c>
      <c r="AG31">
        <f t="shared" si="37"/>
        <v>0</v>
      </c>
      <c r="AH31">
        <f t="shared" si="38"/>
        <v>74.3</v>
      </c>
      <c r="AI31">
        <f t="shared" si="39"/>
        <v>1.99</v>
      </c>
      <c r="AJ31">
        <f t="shared" si="40"/>
        <v>0</v>
      </c>
      <c r="AK31">
        <v>661.01</v>
      </c>
      <c r="AL31">
        <v>0</v>
      </c>
      <c r="AM31">
        <v>114.16</v>
      </c>
      <c r="AN31">
        <v>19</v>
      </c>
      <c r="AO31">
        <v>546.85</v>
      </c>
      <c r="AP31">
        <v>0</v>
      </c>
      <c r="AQ31">
        <v>74.3</v>
      </c>
      <c r="AR31">
        <v>1.99</v>
      </c>
      <c r="AS31">
        <v>0</v>
      </c>
      <c r="AT31">
        <v>54</v>
      </c>
      <c r="AU31">
        <v>45</v>
      </c>
      <c r="AV31">
        <v>1</v>
      </c>
      <c r="AW31">
        <v>1</v>
      </c>
      <c r="AZ31">
        <v>1</v>
      </c>
      <c r="BA31">
        <v>20.88</v>
      </c>
      <c r="BB31">
        <v>9.66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42</v>
      </c>
      <c r="BM31">
        <v>63001</v>
      </c>
      <c r="BN31">
        <v>0</v>
      </c>
      <c r="BO31" t="s">
        <v>39</v>
      </c>
      <c r="BP31">
        <v>1</v>
      </c>
      <c r="BQ31">
        <v>6</v>
      </c>
      <c r="BR31">
        <v>0</v>
      </c>
      <c r="BS31">
        <v>20.88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77</v>
      </c>
      <c r="CA31">
        <v>50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41"/>
        <v>1921</v>
      </c>
      <c r="CQ31">
        <f t="shared" si="42"/>
        <v>0</v>
      </c>
      <c r="CR31">
        <f t="shared" si="43"/>
        <v>1102.7855999999999</v>
      </c>
      <c r="CS31">
        <f t="shared" si="44"/>
        <v>396.71999999999997</v>
      </c>
      <c r="CT31">
        <f t="shared" si="45"/>
        <v>11418.227999999999</v>
      </c>
      <c r="CU31">
        <f t="shared" si="46"/>
        <v>0</v>
      </c>
      <c r="CV31">
        <f t="shared" si="47"/>
        <v>74.3</v>
      </c>
      <c r="CW31">
        <f t="shared" si="48"/>
        <v>1.99</v>
      </c>
      <c r="CX31">
        <f t="shared" si="49"/>
        <v>0</v>
      </c>
      <c r="CY31">
        <f t="shared" si="50"/>
        <v>979.02</v>
      </c>
      <c r="CZ31">
        <f t="shared" si="51"/>
        <v>815.85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41</v>
      </c>
      <c r="DW31" t="s">
        <v>41</v>
      </c>
      <c r="DX31">
        <v>1</v>
      </c>
      <c r="EE31">
        <v>45269261</v>
      </c>
      <c r="EF31">
        <v>6</v>
      </c>
      <c r="EG31" t="s">
        <v>33</v>
      </c>
      <c r="EH31">
        <v>0</v>
      </c>
      <c r="EI31" t="s">
        <v>3</v>
      </c>
      <c r="EJ31">
        <v>1</v>
      </c>
      <c r="EK31">
        <v>63001</v>
      </c>
      <c r="EL31" t="s">
        <v>43</v>
      </c>
      <c r="EM31" t="s">
        <v>44</v>
      </c>
      <c r="EO31" t="s">
        <v>3</v>
      </c>
      <c r="EQ31">
        <v>0</v>
      </c>
      <c r="ER31">
        <v>661.01</v>
      </c>
      <c r="ES31">
        <v>0</v>
      </c>
      <c r="ET31">
        <v>114.16</v>
      </c>
      <c r="EU31">
        <v>19</v>
      </c>
      <c r="EV31">
        <v>546.85</v>
      </c>
      <c r="EW31">
        <v>74.3</v>
      </c>
      <c r="EX31">
        <v>1.99</v>
      </c>
      <c r="EY31">
        <v>0</v>
      </c>
      <c r="FQ31">
        <v>0</v>
      </c>
      <c r="FR31">
        <f t="shared" si="52"/>
        <v>0</v>
      </c>
      <c r="FS31">
        <v>0</v>
      </c>
      <c r="FT31" t="s">
        <v>36</v>
      </c>
      <c r="FU31" t="s">
        <v>37</v>
      </c>
      <c r="FX31">
        <v>53.9</v>
      </c>
      <c r="FY31">
        <v>45</v>
      </c>
      <c r="GA31" t="s">
        <v>3</v>
      </c>
      <c r="GD31">
        <v>0</v>
      </c>
      <c r="GF31">
        <v>-1943796753</v>
      </c>
      <c r="GG31">
        <v>2</v>
      </c>
      <c r="GH31">
        <v>1</v>
      </c>
      <c r="GI31">
        <v>2</v>
      </c>
      <c r="GJ31">
        <v>0</v>
      </c>
      <c r="GK31">
        <f>ROUND(R31*(R12)/100,0)</f>
        <v>0</v>
      </c>
      <c r="GL31">
        <f t="shared" si="53"/>
        <v>0</v>
      </c>
      <c r="GM31">
        <f t="shared" si="54"/>
        <v>3716</v>
      </c>
      <c r="GN31">
        <f t="shared" si="55"/>
        <v>3716</v>
      </c>
      <c r="GO31">
        <f t="shared" si="56"/>
        <v>0</v>
      </c>
      <c r="GP31">
        <f t="shared" si="57"/>
        <v>0</v>
      </c>
      <c r="GR31">
        <v>0</v>
      </c>
      <c r="GS31">
        <v>3</v>
      </c>
      <c r="GT31">
        <v>0</v>
      </c>
      <c r="GU31" t="s">
        <v>3</v>
      </c>
      <c r="GV31">
        <f t="shared" si="58"/>
        <v>0</v>
      </c>
      <c r="GW31">
        <v>1</v>
      </c>
      <c r="GX31">
        <f t="shared" si="59"/>
        <v>0</v>
      </c>
      <c r="HA31">
        <v>0</v>
      </c>
      <c r="HB31">
        <v>0</v>
      </c>
      <c r="IK31">
        <v>0</v>
      </c>
    </row>
    <row r="32" spans="1:245">
      <c r="A32">
        <v>17</v>
      </c>
      <c r="B32">
        <v>1</v>
      </c>
      <c r="C32">
        <f>ROW(SmtRes!A28)</f>
        <v>28</v>
      </c>
      <c r="D32">
        <f>ROW(EtalonRes!A28)</f>
        <v>28</v>
      </c>
      <c r="E32" t="s">
        <v>45</v>
      </c>
      <c r="F32" t="s">
        <v>46</v>
      </c>
      <c r="G32" t="s">
        <v>47</v>
      </c>
      <c r="H32" t="s">
        <v>48</v>
      </c>
      <c r="I32">
        <f>ROUND(3.9/100,9)</f>
        <v>3.9E-2</v>
      </c>
      <c r="J32">
        <v>0</v>
      </c>
      <c r="O32">
        <f t="shared" si="21"/>
        <v>471</v>
      </c>
      <c r="P32">
        <f t="shared" si="22"/>
        <v>0</v>
      </c>
      <c r="Q32">
        <f t="shared" si="23"/>
        <v>18</v>
      </c>
      <c r="R32">
        <f t="shared" si="24"/>
        <v>14</v>
      </c>
      <c r="S32">
        <f t="shared" si="25"/>
        <v>453</v>
      </c>
      <c r="T32">
        <f t="shared" si="26"/>
        <v>0</v>
      </c>
      <c r="U32">
        <f t="shared" si="27"/>
        <v>2.7249300000000001</v>
      </c>
      <c r="V32">
        <f t="shared" si="28"/>
        <v>5.6159999999999995E-2</v>
      </c>
      <c r="W32">
        <f t="shared" si="29"/>
        <v>0</v>
      </c>
      <c r="X32">
        <f t="shared" si="30"/>
        <v>262</v>
      </c>
      <c r="Y32">
        <f t="shared" si="31"/>
        <v>285</v>
      </c>
      <c r="AA32">
        <v>48370320</v>
      </c>
      <c r="AB32">
        <f t="shared" si="32"/>
        <v>603.07000000000005</v>
      </c>
      <c r="AC32">
        <f t="shared" si="33"/>
        <v>0</v>
      </c>
      <c r="AD32">
        <f t="shared" si="34"/>
        <v>46.21</v>
      </c>
      <c r="AE32">
        <f t="shared" si="35"/>
        <v>17.420000000000002</v>
      </c>
      <c r="AF32">
        <f t="shared" si="36"/>
        <v>556.86</v>
      </c>
      <c r="AG32">
        <f t="shared" si="37"/>
        <v>0</v>
      </c>
      <c r="AH32">
        <f t="shared" si="38"/>
        <v>69.87</v>
      </c>
      <c r="AI32">
        <f t="shared" si="39"/>
        <v>1.44</v>
      </c>
      <c r="AJ32">
        <f t="shared" si="40"/>
        <v>0</v>
      </c>
      <c r="AK32">
        <v>603.07000000000005</v>
      </c>
      <c r="AL32">
        <v>0</v>
      </c>
      <c r="AM32">
        <v>46.21</v>
      </c>
      <c r="AN32">
        <v>17.420000000000002</v>
      </c>
      <c r="AO32">
        <v>556.86</v>
      </c>
      <c r="AP32">
        <v>0</v>
      </c>
      <c r="AQ32">
        <v>69.87</v>
      </c>
      <c r="AR32">
        <v>1.44</v>
      </c>
      <c r="AS32">
        <v>0</v>
      </c>
      <c r="AT32">
        <v>56</v>
      </c>
      <c r="AU32">
        <v>61</v>
      </c>
      <c r="AV32">
        <v>1</v>
      </c>
      <c r="AW32">
        <v>1</v>
      </c>
      <c r="AZ32">
        <v>1</v>
      </c>
      <c r="BA32">
        <v>20.88</v>
      </c>
      <c r="BB32">
        <v>10.210000000000001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49</v>
      </c>
      <c r="BM32">
        <v>57001</v>
      </c>
      <c r="BN32">
        <v>0</v>
      </c>
      <c r="BO32" t="s">
        <v>46</v>
      </c>
      <c r="BP32">
        <v>1</v>
      </c>
      <c r="BQ32">
        <v>6</v>
      </c>
      <c r="BR32">
        <v>0</v>
      </c>
      <c r="BS32">
        <v>20.88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80</v>
      </c>
      <c r="CA32">
        <v>68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41"/>
        <v>471</v>
      </c>
      <c r="CQ32">
        <f t="shared" si="42"/>
        <v>0</v>
      </c>
      <c r="CR32">
        <f t="shared" si="43"/>
        <v>471.80410000000006</v>
      </c>
      <c r="CS32">
        <f t="shared" si="44"/>
        <v>363.7296</v>
      </c>
      <c r="CT32">
        <f t="shared" si="45"/>
        <v>11627.236800000001</v>
      </c>
      <c r="CU32">
        <f t="shared" si="46"/>
        <v>0</v>
      </c>
      <c r="CV32">
        <f t="shared" si="47"/>
        <v>69.87</v>
      </c>
      <c r="CW32">
        <f t="shared" si="48"/>
        <v>1.44</v>
      </c>
      <c r="CX32">
        <f t="shared" si="49"/>
        <v>0</v>
      </c>
      <c r="CY32">
        <f t="shared" si="50"/>
        <v>261.52</v>
      </c>
      <c r="CZ32">
        <f t="shared" si="51"/>
        <v>284.87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1013</v>
      </c>
      <c r="DV32" t="s">
        <v>48</v>
      </c>
      <c r="DW32" t="s">
        <v>48</v>
      </c>
      <c r="DX32">
        <v>1</v>
      </c>
      <c r="EE32">
        <v>45269255</v>
      </c>
      <c r="EF32">
        <v>6</v>
      </c>
      <c r="EG32" t="s">
        <v>33</v>
      </c>
      <c r="EH32">
        <v>0</v>
      </c>
      <c r="EI32" t="s">
        <v>3</v>
      </c>
      <c r="EJ32">
        <v>1</v>
      </c>
      <c r="EK32">
        <v>57001</v>
      </c>
      <c r="EL32" t="s">
        <v>50</v>
      </c>
      <c r="EM32" t="s">
        <v>51</v>
      </c>
      <c r="EO32" t="s">
        <v>3</v>
      </c>
      <c r="EQ32">
        <v>0</v>
      </c>
      <c r="ER32">
        <v>603.07000000000005</v>
      </c>
      <c r="ES32">
        <v>0</v>
      </c>
      <c r="ET32">
        <v>46.21</v>
      </c>
      <c r="EU32">
        <v>17.420000000000002</v>
      </c>
      <c r="EV32">
        <v>556.86</v>
      </c>
      <c r="EW32">
        <v>69.87</v>
      </c>
      <c r="EX32">
        <v>1.44</v>
      </c>
      <c r="EY32">
        <v>0</v>
      </c>
      <c r="FQ32">
        <v>0</v>
      </c>
      <c r="FR32">
        <f t="shared" si="52"/>
        <v>0</v>
      </c>
      <c r="FS32">
        <v>0</v>
      </c>
      <c r="FT32" t="s">
        <v>36</v>
      </c>
      <c r="FU32" t="s">
        <v>37</v>
      </c>
      <c r="FX32">
        <v>56</v>
      </c>
      <c r="FY32">
        <v>61.2</v>
      </c>
      <c r="GA32" t="s">
        <v>3</v>
      </c>
      <c r="GD32">
        <v>0</v>
      </c>
      <c r="GF32">
        <v>-965476354</v>
      </c>
      <c r="GG32">
        <v>2</v>
      </c>
      <c r="GH32">
        <v>1</v>
      </c>
      <c r="GI32">
        <v>2</v>
      </c>
      <c r="GJ32">
        <v>0</v>
      </c>
      <c r="GK32">
        <f>ROUND(R32*(R12)/100,0)</f>
        <v>0</v>
      </c>
      <c r="GL32">
        <f t="shared" si="53"/>
        <v>0</v>
      </c>
      <c r="GM32">
        <f t="shared" si="54"/>
        <v>1018</v>
      </c>
      <c r="GN32">
        <f t="shared" si="55"/>
        <v>1018</v>
      </c>
      <c r="GO32">
        <f t="shared" si="56"/>
        <v>0</v>
      </c>
      <c r="GP32">
        <f t="shared" si="57"/>
        <v>0</v>
      </c>
      <c r="GR32">
        <v>0</v>
      </c>
      <c r="GS32">
        <v>3</v>
      </c>
      <c r="GT32">
        <v>0</v>
      </c>
      <c r="GU32" t="s">
        <v>3</v>
      </c>
      <c r="GV32">
        <f t="shared" si="58"/>
        <v>0</v>
      </c>
      <c r="GW32">
        <v>1</v>
      </c>
      <c r="GX32">
        <f t="shared" si="59"/>
        <v>0</v>
      </c>
      <c r="HA32">
        <v>0</v>
      </c>
      <c r="HB32">
        <v>0</v>
      </c>
      <c r="IK32">
        <v>0</v>
      </c>
    </row>
    <row r="33" spans="1:245">
      <c r="A33">
        <v>17</v>
      </c>
      <c r="B33">
        <v>1</v>
      </c>
      <c r="C33">
        <f>ROW(SmtRes!A31)</f>
        <v>31</v>
      </c>
      <c r="D33">
        <f>ROW(EtalonRes!A31)</f>
        <v>31</v>
      </c>
      <c r="E33" t="s">
        <v>52</v>
      </c>
      <c r="F33" t="s">
        <v>53</v>
      </c>
      <c r="G33" t="s">
        <v>54</v>
      </c>
      <c r="H33" t="s">
        <v>55</v>
      </c>
      <c r="I33">
        <f>ROUND(2.94/100,9)</f>
        <v>2.9399999999999999E-2</v>
      </c>
      <c r="J33">
        <v>0</v>
      </c>
      <c r="O33">
        <f t="shared" si="21"/>
        <v>557</v>
      </c>
      <c r="P33">
        <f t="shared" si="22"/>
        <v>0</v>
      </c>
      <c r="Q33">
        <f t="shared" si="23"/>
        <v>75</v>
      </c>
      <c r="R33">
        <f t="shared" si="24"/>
        <v>57</v>
      </c>
      <c r="S33">
        <f t="shared" si="25"/>
        <v>482</v>
      </c>
      <c r="T33">
        <f t="shared" si="26"/>
        <v>0</v>
      </c>
      <c r="U33">
        <f t="shared" si="27"/>
        <v>3.0549539999999999</v>
      </c>
      <c r="V33">
        <f t="shared" si="28"/>
        <v>0.22755600000000001</v>
      </c>
      <c r="W33">
        <f t="shared" si="29"/>
        <v>0</v>
      </c>
      <c r="X33">
        <f t="shared" si="30"/>
        <v>372</v>
      </c>
      <c r="Y33">
        <f t="shared" si="31"/>
        <v>291</v>
      </c>
      <c r="AA33">
        <v>48370320</v>
      </c>
      <c r="AB33">
        <f t="shared" si="32"/>
        <v>1033.94</v>
      </c>
      <c r="AC33">
        <f t="shared" si="33"/>
        <v>0</v>
      </c>
      <c r="AD33">
        <f t="shared" si="34"/>
        <v>248.38</v>
      </c>
      <c r="AE33">
        <f t="shared" si="35"/>
        <v>93.65</v>
      </c>
      <c r="AF33">
        <f t="shared" si="36"/>
        <v>785.56</v>
      </c>
      <c r="AG33">
        <f t="shared" si="37"/>
        <v>0</v>
      </c>
      <c r="AH33">
        <f t="shared" si="38"/>
        <v>103.91</v>
      </c>
      <c r="AI33">
        <f t="shared" si="39"/>
        <v>7.74</v>
      </c>
      <c r="AJ33">
        <f t="shared" si="40"/>
        <v>0</v>
      </c>
      <c r="AK33">
        <v>1033.94</v>
      </c>
      <c r="AL33">
        <v>0</v>
      </c>
      <c r="AM33">
        <v>248.38</v>
      </c>
      <c r="AN33">
        <v>93.65</v>
      </c>
      <c r="AO33">
        <v>785.56</v>
      </c>
      <c r="AP33">
        <v>0</v>
      </c>
      <c r="AQ33">
        <v>103.91</v>
      </c>
      <c r="AR33">
        <v>7.74</v>
      </c>
      <c r="AS33">
        <v>0</v>
      </c>
      <c r="AT33">
        <v>69</v>
      </c>
      <c r="AU33">
        <v>54</v>
      </c>
      <c r="AV33">
        <v>1</v>
      </c>
      <c r="AW33">
        <v>1</v>
      </c>
      <c r="AZ33">
        <v>1</v>
      </c>
      <c r="BA33">
        <v>20.88</v>
      </c>
      <c r="BB33">
        <v>10.210000000000001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56</v>
      </c>
      <c r="BM33">
        <v>46001</v>
      </c>
      <c r="BN33">
        <v>0</v>
      </c>
      <c r="BO33" t="s">
        <v>53</v>
      </c>
      <c r="BP33">
        <v>1</v>
      </c>
      <c r="BQ33">
        <v>2</v>
      </c>
      <c r="BR33">
        <v>0</v>
      </c>
      <c r="BS33">
        <v>20.88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110</v>
      </c>
      <c r="CA33">
        <v>70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41"/>
        <v>557</v>
      </c>
      <c r="CQ33">
        <f t="shared" si="42"/>
        <v>0</v>
      </c>
      <c r="CR33">
        <f t="shared" si="43"/>
        <v>2535.9598000000001</v>
      </c>
      <c r="CS33">
        <f t="shared" si="44"/>
        <v>1955.412</v>
      </c>
      <c r="CT33">
        <f t="shared" si="45"/>
        <v>16402.492799999996</v>
      </c>
      <c r="CU33">
        <f t="shared" si="46"/>
        <v>0</v>
      </c>
      <c r="CV33">
        <f t="shared" si="47"/>
        <v>103.91</v>
      </c>
      <c r="CW33">
        <f t="shared" si="48"/>
        <v>7.74</v>
      </c>
      <c r="CX33">
        <f t="shared" si="49"/>
        <v>0</v>
      </c>
      <c r="CY33">
        <f t="shared" si="50"/>
        <v>371.91</v>
      </c>
      <c r="CZ33">
        <f t="shared" si="51"/>
        <v>291.06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55</v>
      </c>
      <c r="DW33" t="s">
        <v>55</v>
      </c>
      <c r="DX33">
        <v>100</v>
      </c>
      <c r="EE33">
        <v>45269244</v>
      </c>
      <c r="EF33">
        <v>2</v>
      </c>
      <c r="EG33" t="s">
        <v>19</v>
      </c>
      <c r="EH33">
        <v>0</v>
      </c>
      <c r="EI33" t="s">
        <v>3</v>
      </c>
      <c r="EJ33">
        <v>1</v>
      </c>
      <c r="EK33">
        <v>46001</v>
      </c>
      <c r="EL33" t="s">
        <v>20</v>
      </c>
      <c r="EM33" t="s">
        <v>21</v>
      </c>
      <c r="EO33" t="s">
        <v>3</v>
      </c>
      <c r="EQ33">
        <v>0</v>
      </c>
      <c r="ER33">
        <v>1033.94</v>
      </c>
      <c r="ES33">
        <v>0</v>
      </c>
      <c r="ET33">
        <v>248.38</v>
      </c>
      <c r="EU33">
        <v>93.65</v>
      </c>
      <c r="EV33">
        <v>785.56</v>
      </c>
      <c r="EW33">
        <v>103.91</v>
      </c>
      <c r="EX33">
        <v>7.74</v>
      </c>
      <c r="EY33">
        <v>0</v>
      </c>
      <c r="FQ33">
        <v>0</v>
      </c>
      <c r="FR33">
        <f t="shared" si="52"/>
        <v>0</v>
      </c>
      <c r="FS33">
        <v>0</v>
      </c>
      <c r="FT33" t="s">
        <v>22</v>
      </c>
      <c r="FU33" t="s">
        <v>23</v>
      </c>
      <c r="FX33">
        <v>69.3</v>
      </c>
      <c r="FY33">
        <v>53.55</v>
      </c>
      <c r="GA33" t="s">
        <v>3</v>
      </c>
      <c r="GD33">
        <v>0</v>
      </c>
      <c r="GF33">
        <v>-1978642567</v>
      </c>
      <c r="GG33">
        <v>2</v>
      </c>
      <c r="GH33">
        <v>1</v>
      </c>
      <c r="GI33">
        <v>2</v>
      </c>
      <c r="GJ33">
        <v>0</v>
      </c>
      <c r="GK33">
        <f>ROUND(R33*(R12)/100,0)</f>
        <v>0</v>
      </c>
      <c r="GL33">
        <f t="shared" si="53"/>
        <v>0</v>
      </c>
      <c r="GM33">
        <f t="shared" si="54"/>
        <v>1220</v>
      </c>
      <c r="GN33">
        <f t="shared" si="55"/>
        <v>1220</v>
      </c>
      <c r="GO33">
        <f t="shared" si="56"/>
        <v>0</v>
      </c>
      <c r="GP33">
        <f t="shared" si="57"/>
        <v>0</v>
      </c>
      <c r="GR33">
        <v>0</v>
      </c>
      <c r="GS33">
        <v>3</v>
      </c>
      <c r="GT33">
        <v>0</v>
      </c>
      <c r="GU33" t="s">
        <v>3</v>
      </c>
      <c r="GV33">
        <f t="shared" si="58"/>
        <v>0</v>
      </c>
      <c r="GW33">
        <v>1</v>
      </c>
      <c r="GX33">
        <f t="shared" si="59"/>
        <v>0</v>
      </c>
      <c r="HA33">
        <v>0</v>
      </c>
      <c r="HB33">
        <v>0</v>
      </c>
      <c r="IK33">
        <v>0</v>
      </c>
    </row>
    <row r="34" spans="1:245">
      <c r="A34">
        <v>17</v>
      </c>
      <c r="B34">
        <v>1</v>
      </c>
      <c r="C34">
        <f>ROW(SmtRes!A32)</f>
        <v>32</v>
      </c>
      <c r="D34">
        <f>ROW(EtalonRes!A32)</f>
        <v>32</v>
      </c>
      <c r="E34" t="s">
        <v>57</v>
      </c>
      <c r="F34" t="s">
        <v>58</v>
      </c>
      <c r="G34" t="s">
        <v>59</v>
      </c>
      <c r="H34" t="s">
        <v>55</v>
      </c>
      <c r="I34">
        <f>ROUND(20.89/100,9)</f>
        <v>0.2089</v>
      </c>
      <c r="J34">
        <v>0</v>
      </c>
      <c r="O34">
        <f t="shared" si="21"/>
        <v>726</v>
      </c>
      <c r="P34">
        <f t="shared" si="22"/>
        <v>0</v>
      </c>
      <c r="Q34">
        <f t="shared" si="23"/>
        <v>0</v>
      </c>
      <c r="R34">
        <f t="shared" si="24"/>
        <v>0</v>
      </c>
      <c r="S34">
        <f t="shared" si="25"/>
        <v>726</v>
      </c>
      <c r="T34">
        <f t="shared" si="26"/>
        <v>0</v>
      </c>
      <c r="U34">
        <f t="shared" si="27"/>
        <v>4.7670979999999998</v>
      </c>
      <c r="V34">
        <f t="shared" si="28"/>
        <v>0</v>
      </c>
      <c r="W34">
        <f t="shared" si="29"/>
        <v>0</v>
      </c>
      <c r="X34">
        <f t="shared" si="30"/>
        <v>501</v>
      </c>
      <c r="Y34">
        <f t="shared" si="31"/>
        <v>392</v>
      </c>
      <c r="AA34">
        <v>48370320</v>
      </c>
      <c r="AB34">
        <f t="shared" si="32"/>
        <v>166.36</v>
      </c>
      <c r="AC34">
        <f t="shared" si="33"/>
        <v>0</v>
      </c>
      <c r="AD34">
        <f t="shared" si="34"/>
        <v>0</v>
      </c>
      <c r="AE34">
        <f t="shared" si="35"/>
        <v>0</v>
      </c>
      <c r="AF34">
        <f t="shared" si="36"/>
        <v>166.36</v>
      </c>
      <c r="AG34">
        <f t="shared" si="37"/>
        <v>0</v>
      </c>
      <c r="AH34">
        <f t="shared" si="38"/>
        <v>22.82</v>
      </c>
      <c r="AI34">
        <f t="shared" si="39"/>
        <v>0</v>
      </c>
      <c r="AJ34">
        <f t="shared" si="40"/>
        <v>0</v>
      </c>
      <c r="AK34">
        <v>166.36</v>
      </c>
      <c r="AL34">
        <v>0</v>
      </c>
      <c r="AM34">
        <v>0</v>
      </c>
      <c r="AN34">
        <v>0</v>
      </c>
      <c r="AO34">
        <v>166.36</v>
      </c>
      <c r="AP34">
        <v>0</v>
      </c>
      <c r="AQ34">
        <v>22.82</v>
      </c>
      <c r="AR34">
        <v>0</v>
      </c>
      <c r="AS34">
        <v>0</v>
      </c>
      <c r="AT34">
        <v>69</v>
      </c>
      <c r="AU34">
        <v>54</v>
      </c>
      <c r="AV34">
        <v>1</v>
      </c>
      <c r="AW34">
        <v>1</v>
      </c>
      <c r="AZ34">
        <v>1</v>
      </c>
      <c r="BA34">
        <v>20.88</v>
      </c>
      <c r="BB34">
        <v>1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1</v>
      </c>
      <c r="BJ34" t="s">
        <v>60</v>
      </c>
      <c r="BM34">
        <v>46001</v>
      </c>
      <c r="BN34">
        <v>0</v>
      </c>
      <c r="BO34" t="s">
        <v>58</v>
      </c>
      <c r="BP34">
        <v>1</v>
      </c>
      <c r="BQ34">
        <v>2</v>
      </c>
      <c r="BR34">
        <v>0</v>
      </c>
      <c r="BS34">
        <v>20.88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110</v>
      </c>
      <c r="CA34">
        <v>70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41"/>
        <v>726</v>
      </c>
      <c r="CQ34">
        <f t="shared" si="42"/>
        <v>0</v>
      </c>
      <c r="CR34">
        <f t="shared" si="43"/>
        <v>0</v>
      </c>
      <c r="CS34">
        <f t="shared" si="44"/>
        <v>0</v>
      </c>
      <c r="CT34">
        <f t="shared" si="45"/>
        <v>3473.5968000000003</v>
      </c>
      <c r="CU34">
        <f t="shared" si="46"/>
        <v>0</v>
      </c>
      <c r="CV34">
        <f t="shared" si="47"/>
        <v>22.82</v>
      </c>
      <c r="CW34">
        <f t="shared" si="48"/>
        <v>0</v>
      </c>
      <c r="CX34">
        <f t="shared" si="49"/>
        <v>0</v>
      </c>
      <c r="CY34">
        <f t="shared" si="50"/>
        <v>500.94</v>
      </c>
      <c r="CZ34">
        <f t="shared" si="51"/>
        <v>392.04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1005</v>
      </c>
      <c r="DV34" t="s">
        <v>55</v>
      </c>
      <c r="DW34" t="s">
        <v>55</v>
      </c>
      <c r="DX34">
        <v>100</v>
      </c>
      <c r="EE34">
        <v>45269244</v>
      </c>
      <c r="EF34">
        <v>2</v>
      </c>
      <c r="EG34" t="s">
        <v>19</v>
      </c>
      <c r="EH34">
        <v>0</v>
      </c>
      <c r="EI34" t="s">
        <v>3</v>
      </c>
      <c r="EJ34">
        <v>1</v>
      </c>
      <c r="EK34">
        <v>46001</v>
      </c>
      <c r="EL34" t="s">
        <v>20</v>
      </c>
      <c r="EM34" t="s">
        <v>21</v>
      </c>
      <c r="EO34" t="s">
        <v>3</v>
      </c>
      <c r="EQ34">
        <v>0</v>
      </c>
      <c r="ER34">
        <v>166.36</v>
      </c>
      <c r="ES34">
        <v>0</v>
      </c>
      <c r="ET34">
        <v>0</v>
      </c>
      <c r="EU34">
        <v>0</v>
      </c>
      <c r="EV34">
        <v>166.36</v>
      </c>
      <c r="EW34">
        <v>22.82</v>
      </c>
      <c r="EX34">
        <v>0</v>
      </c>
      <c r="EY34">
        <v>0</v>
      </c>
      <c r="FQ34">
        <v>0</v>
      </c>
      <c r="FR34">
        <f t="shared" si="52"/>
        <v>0</v>
      </c>
      <c r="FS34">
        <v>0</v>
      </c>
      <c r="FT34" t="s">
        <v>22</v>
      </c>
      <c r="FU34" t="s">
        <v>23</v>
      </c>
      <c r="FX34">
        <v>69.3</v>
      </c>
      <c r="FY34">
        <v>53.55</v>
      </c>
      <c r="GA34" t="s">
        <v>3</v>
      </c>
      <c r="GD34">
        <v>0</v>
      </c>
      <c r="GF34">
        <v>1795764850</v>
      </c>
      <c r="GG34">
        <v>2</v>
      </c>
      <c r="GH34">
        <v>1</v>
      </c>
      <c r="GI34">
        <v>2</v>
      </c>
      <c r="GJ34">
        <v>0</v>
      </c>
      <c r="GK34">
        <f>ROUND(R34*(R12)/100,0)</f>
        <v>0</v>
      </c>
      <c r="GL34">
        <f t="shared" si="53"/>
        <v>0</v>
      </c>
      <c r="GM34">
        <f t="shared" si="54"/>
        <v>1619</v>
      </c>
      <c r="GN34">
        <f t="shared" si="55"/>
        <v>1619</v>
      </c>
      <c r="GO34">
        <f t="shared" si="56"/>
        <v>0</v>
      </c>
      <c r="GP34">
        <f t="shared" si="57"/>
        <v>0</v>
      </c>
      <c r="GR34">
        <v>0</v>
      </c>
      <c r="GS34">
        <v>3</v>
      </c>
      <c r="GT34">
        <v>0</v>
      </c>
      <c r="GU34" t="s">
        <v>3</v>
      </c>
      <c r="GV34">
        <f t="shared" si="58"/>
        <v>0</v>
      </c>
      <c r="GW34">
        <v>1</v>
      </c>
      <c r="GX34">
        <f t="shared" si="59"/>
        <v>0</v>
      </c>
      <c r="HA34">
        <v>0</v>
      </c>
      <c r="HB34">
        <v>0</v>
      </c>
      <c r="IK34">
        <v>0</v>
      </c>
    </row>
    <row r="35" spans="1:245">
      <c r="A35">
        <v>17</v>
      </c>
      <c r="B35">
        <v>1</v>
      </c>
      <c r="C35">
        <f>ROW(SmtRes!A35)</f>
        <v>35</v>
      </c>
      <c r="D35">
        <f>ROW(EtalonRes!A35)</f>
        <v>35</v>
      </c>
      <c r="E35" t="s">
        <v>61</v>
      </c>
      <c r="F35" t="s">
        <v>62</v>
      </c>
      <c r="G35" t="s">
        <v>63</v>
      </c>
      <c r="H35" t="s">
        <v>64</v>
      </c>
      <c r="I35">
        <f>ROUND(2/100,9)</f>
        <v>0.02</v>
      </c>
      <c r="J35">
        <v>0</v>
      </c>
      <c r="O35">
        <f t="shared" si="21"/>
        <v>57</v>
      </c>
      <c r="P35">
        <f t="shared" si="22"/>
        <v>0</v>
      </c>
      <c r="Q35">
        <f t="shared" si="23"/>
        <v>1</v>
      </c>
      <c r="R35">
        <f t="shared" si="24"/>
        <v>0</v>
      </c>
      <c r="S35">
        <f t="shared" si="25"/>
        <v>56</v>
      </c>
      <c r="T35">
        <f t="shared" si="26"/>
        <v>0</v>
      </c>
      <c r="U35">
        <f t="shared" si="27"/>
        <v>0.35780000000000001</v>
      </c>
      <c r="V35">
        <f t="shared" si="28"/>
        <v>1.6000000000000001E-3</v>
      </c>
      <c r="W35">
        <f t="shared" si="29"/>
        <v>0</v>
      </c>
      <c r="X35">
        <f t="shared" si="30"/>
        <v>34</v>
      </c>
      <c r="Y35">
        <f t="shared" si="31"/>
        <v>33</v>
      </c>
      <c r="AA35">
        <v>48370320</v>
      </c>
      <c r="AB35">
        <f t="shared" si="32"/>
        <v>136.57</v>
      </c>
      <c r="AC35">
        <f t="shared" si="33"/>
        <v>0</v>
      </c>
      <c r="AD35">
        <f t="shared" si="34"/>
        <v>2.57</v>
      </c>
      <c r="AE35">
        <f t="shared" si="35"/>
        <v>0.97</v>
      </c>
      <c r="AF35">
        <f t="shared" si="36"/>
        <v>134</v>
      </c>
      <c r="AG35">
        <f t="shared" si="37"/>
        <v>0</v>
      </c>
      <c r="AH35">
        <f t="shared" si="38"/>
        <v>17.89</v>
      </c>
      <c r="AI35">
        <f t="shared" si="39"/>
        <v>0.08</v>
      </c>
      <c r="AJ35">
        <f t="shared" si="40"/>
        <v>0</v>
      </c>
      <c r="AK35">
        <v>136.57</v>
      </c>
      <c r="AL35">
        <v>0</v>
      </c>
      <c r="AM35">
        <v>2.57</v>
      </c>
      <c r="AN35">
        <v>0.97</v>
      </c>
      <c r="AO35">
        <v>134</v>
      </c>
      <c r="AP35">
        <v>0</v>
      </c>
      <c r="AQ35">
        <v>17.89</v>
      </c>
      <c r="AR35">
        <v>0.08</v>
      </c>
      <c r="AS35">
        <v>0</v>
      </c>
      <c r="AT35">
        <v>60</v>
      </c>
      <c r="AU35">
        <v>59</v>
      </c>
      <c r="AV35">
        <v>1</v>
      </c>
      <c r="AW35">
        <v>1</v>
      </c>
      <c r="AZ35">
        <v>1</v>
      </c>
      <c r="BA35">
        <v>20.88</v>
      </c>
      <c r="BB35">
        <v>10.199999999999999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1</v>
      </c>
      <c r="BJ35" t="s">
        <v>65</v>
      </c>
      <c r="BM35">
        <v>67001</v>
      </c>
      <c r="BN35">
        <v>0</v>
      </c>
      <c r="BO35" t="s">
        <v>62</v>
      </c>
      <c r="BP35">
        <v>1</v>
      </c>
      <c r="BQ35">
        <v>6</v>
      </c>
      <c r="BR35">
        <v>0</v>
      </c>
      <c r="BS35">
        <v>20.88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85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41"/>
        <v>57</v>
      </c>
      <c r="CQ35">
        <f t="shared" si="42"/>
        <v>0</v>
      </c>
      <c r="CR35">
        <f t="shared" si="43"/>
        <v>26.213999999999995</v>
      </c>
      <c r="CS35">
        <f t="shared" si="44"/>
        <v>20.253599999999999</v>
      </c>
      <c r="CT35">
        <f t="shared" si="45"/>
        <v>2797.92</v>
      </c>
      <c r="CU35">
        <f t="shared" si="46"/>
        <v>0</v>
      </c>
      <c r="CV35">
        <f t="shared" si="47"/>
        <v>17.89</v>
      </c>
      <c r="CW35">
        <f t="shared" si="48"/>
        <v>0.08</v>
      </c>
      <c r="CX35">
        <f t="shared" si="49"/>
        <v>0</v>
      </c>
      <c r="CY35">
        <f t="shared" si="50"/>
        <v>33.6</v>
      </c>
      <c r="CZ35">
        <f t="shared" si="51"/>
        <v>33.04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64</v>
      </c>
      <c r="DW35" t="s">
        <v>64</v>
      </c>
      <c r="DX35">
        <v>100</v>
      </c>
      <c r="EE35">
        <v>45269301</v>
      </c>
      <c r="EF35">
        <v>6</v>
      </c>
      <c r="EG35" t="s">
        <v>33</v>
      </c>
      <c r="EH35">
        <v>0</v>
      </c>
      <c r="EI35" t="s">
        <v>3</v>
      </c>
      <c r="EJ35">
        <v>1</v>
      </c>
      <c r="EK35">
        <v>67001</v>
      </c>
      <c r="EL35" t="s">
        <v>66</v>
      </c>
      <c r="EM35" t="s">
        <v>67</v>
      </c>
      <c r="EO35" t="s">
        <v>3</v>
      </c>
      <c r="EQ35">
        <v>0</v>
      </c>
      <c r="ER35">
        <v>136.57</v>
      </c>
      <c r="ES35">
        <v>0</v>
      </c>
      <c r="ET35">
        <v>2.57</v>
      </c>
      <c r="EU35">
        <v>0.97</v>
      </c>
      <c r="EV35">
        <v>134</v>
      </c>
      <c r="EW35">
        <v>17.89</v>
      </c>
      <c r="EX35">
        <v>0.08</v>
      </c>
      <c r="EY35">
        <v>0</v>
      </c>
      <c r="FQ35">
        <v>0</v>
      </c>
      <c r="FR35">
        <f t="shared" si="52"/>
        <v>0</v>
      </c>
      <c r="FS35">
        <v>0</v>
      </c>
      <c r="FT35" t="s">
        <v>36</v>
      </c>
      <c r="FU35" t="s">
        <v>37</v>
      </c>
      <c r="FX35">
        <v>59.5</v>
      </c>
      <c r="FY35">
        <v>58.5</v>
      </c>
      <c r="GA35" t="s">
        <v>3</v>
      </c>
      <c r="GD35">
        <v>0</v>
      </c>
      <c r="GF35">
        <v>-1759744281</v>
      </c>
      <c r="GG35">
        <v>2</v>
      </c>
      <c r="GH35">
        <v>1</v>
      </c>
      <c r="GI35">
        <v>2</v>
      </c>
      <c r="GJ35">
        <v>0</v>
      </c>
      <c r="GK35">
        <f>ROUND(R35*(R12)/100,0)</f>
        <v>0</v>
      </c>
      <c r="GL35">
        <f t="shared" si="53"/>
        <v>0</v>
      </c>
      <c r="GM35">
        <f t="shared" si="54"/>
        <v>124</v>
      </c>
      <c r="GN35">
        <f t="shared" si="55"/>
        <v>124</v>
      </c>
      <c r="GO35">
        <f t="shared" si="56"/>
        <v>0</v>
      </c>
      <c r="GP35">
        <f t="shared" si="57"/>
        <v>0</v>
      </c>
      <c r="GR35">
        <v>0</v>
      </c>
      <c r="GS35">
        <v>3</v>
      </c>
      <c r="GT35">
        <v>0</v>
      </c>
      <c r="GU35" t="s">
        <v>3</v>
      </c>
      <c r="GV35">
        <f t="shared" si="58"/>
        <v>0</v>
      </c>
      <c r="GW35">
        <v>1</v>
      </c>
      <c r="GX35">
        <f t="shared" si="59"/>
        <v>0</v>
      </c>
      <c r="HA35">
        <v>0</v>
      </c>
      <c r="HB35">
        <v>0</v>
      </c>
      <c r="IK35">
        <v>0</v>
      </c>
    </row>
    <row r="36" spans="1:245">
      <c r="A36">
        <v>17</v>
      </c>
      <c r="B36">
        <v>1</v>
      </c>
      <c r="C36">
        <f>ROW(SmtRes!A39)</f>
        <v>39</v>
      </c>
      <c r="D36">
        <f>ROW(EtalonRes!A39)</f>
        <v>39</v>
      </c>
      <c r="E36" t="s">
        <v>68</v>
      </c>
      <c r="F36" t="s">
        <v>69</v>
      </c>
      <c r="G36" t="s">
        <v>70</v>
      </c>
      <c r="H36" t="s">
        <v>71</v>
      </c>
      <c r="I36">
        <f>ROUND(1/100,9)</f>
        <v>0.01</v>
      </c>
      <c r="J36">
        <v>0</v>
      </c>
      <c r="O36">
        <f t="shared" si="21"/>
        <v>107</v>
      </c>
      <c r="P36">
        <f t="shared" si="22"/>
        <v>0</v>
      </c>
      <c r="Q36">
        <f t="shared" si="23"/>
        <v>1</v>
      </c>
      <c r="R36">
        <f t="shared" si="24"/>
        <v>1</v>
      </c>
      <c r="S36">
        <f t="shared" si="25"/>
        <v>106</v>
      </c>
      <c r="T36">
        <f t="shared" si="26"/>
        <v>0</v>
      </c>
      <c r="U36">
        <f t="shared" si="27"/>
        <v>0.63840000000000008</v>
      </c>
      <c r="V36">
        <f t="shared" si="28"/>
        <v>2.8999999999999998E-3</v>
      </c>
      <c r="W36">
        <f t="shared" si="29"/>
        <v>0</v>
      </c>
      <c r="X36">
        <f t="shared" si="30"/>
        <v>56</v>
      </c>
      <c r="Y36">
        <f t="shared" si="31"/>
        <v>48</v>
      </c>
      <c r="AA36">
        <v>48370320</v>
      </c>
      <c r="AB36">
        <f t="shared" si="32"/>
        <v>518.11</v>
      </c>
      <c r="AC36">
        <f t="shared" si="33"/>
        <v>0</v>
      </c>
      <c r="AD36">
        <f t="shared" si="34"/>
        <v>9.31</v>
      </c>
      <c r="AE36">
        <f t="shared" si="35"/>
        <v>3.51</v>
      </c>
      <c r="AF36">
        <f t="shared" si="36"/>
        <v>508.8</v>
      </c>
      <c r="AG36">
        <f t="shared" si="37"/>
        <v>0</v>
      </c>
      <c r="AH36">
        <f t="shared" si="38"/>
        <v>63.84</v>
      </c>
      <c r="AI36">
        <f t="shared" si="39"/>
        <v>0.28999999999999998</v>
      </c>
      <c r="AJ36">
        <f t="shared" si="40"/>
        <v>0</v>
      </c>
      <c r="AK36">
        <v>518.11</v>
      </c>
      <c r="AL36">
        <v>0</v>
      </c>
      <c r="AM36">
        <v>9.31</v>
      </c>
      <c r="AN36">
        <v>3.51</v>
      </c>
      <c r="AO36">
        <v>508.8</v>
      </c>
      <c r="AP36">
        <v>0</v>
      </c>
      <c r="AQ36">
        <v>63.84</v>
      </c>
      <c r="AR36">
        <v>0.28999999999999998</v>
      </c>
      <c r="AS36">
        <v>0</v>
      </c>
      <c r="AT36">
        <v>52</v>
      </c>
      <c r="AU36">
        <v>45</v>
      </c>
      <c r="AV36">
        <v>1</v>
      </c>
      <c r="AW36">
        <v>1</v>
      </c>
      <c r="AZ36">
        <v>1</v>
      </c>
      <c r="BA36">
        <v>20.88</v>
      </c>
      <c r="BB36">
        <v>10.210000000000001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1</v>
      </c>
      <c r="BJ36" t="s">
        <v>72</v>
      </c>
      <c r="BM36">
        <v>65001</v>
      </c>
      <c r="BN36">
        <v>0</v>
      </c>
      <c r="BO36" t="s">
        <v>69</v>
      </c>
      <c r="BP36">
        <v>1</v>
      </c>
      <c r="BQ36">
        <v>6</v>
      </c>
      <c r="BR36">
        <v>0</v>
      </c>
      <c r="BS36">
        <v>20.88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74</v>
      </c>
      <c r="CA36">
        <v>50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41"/>
        <v>107</v>
      </c>
      <c r="CQ36">
        <f t="shared" si="42"/>
        <v>0</v>
      </c>
      <c r="CR36">
        <f t="shared" si="43"/>
        <v>95.05510000000001</v>
      </c>
      <c r="CS36">
        <f t="shared" si="44"/>
        <v>73.288799999999995</v>
      </c>
      <c r="CT36">
        <f t="shared" si="45"/>
        <v>10623.744000000001</v>
      </c>
      <c r="CU36">
        <f t="shared" si="46"/>
        <v>0</v>
      </c>
      <c r="CV36">
        <f t="shared" si="47"/>
        <v>63.84</v>
      </c>
      <c r="CW36">
        <f t="shared" si="48"/>
        <v>0.28999999999999998</v>
      </c>
      <c r="CX36">
        <f t="shared" si="49"/>
        <v>0</v>
      </c>
      <c r="CY36">
        <f t="shared" si="50"/>
        <v>55.64</v>
      </c>
      <c r="CZ36">
        <f t="shared" si="51"/>
        <v>48.15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71</v>
      </c>
      <c r="DW36" t="s">
        <v>71</v>
      </c>
      <c r="DX36">
        <v>1</v>
      </c>
      <c r="EE36">
        <v>45269263</v>
      </c>
      <c r="EF36">
        <v>6</v>
      </c>
      <c r="EG36" t="s">
        <v>33</v>
      </c>
      <c r="EH36">
        <v>0</v>
      </c>
      <c r="EI36" t="s">
        <v>3</v>
      </c>
      <c r="EJ36">
        <v>1</v>
      </c>
      <c r="EK36">
        <v>65001</v>
      </c>
      <c r="EL36" t="s">
        <v>73</v>
      </c>
      <c r="EM36" t="s">
        <v>74</v>
      </c>
      <c r="EO36" t="s">
        <v>3</v>
      </c>
      <c r="EQ36">
        <v>0</v>
      </c>
      <c r="ER36">
        <v>518.11</v>
      </c>
      <c r="ES36">
        <v>0</v>
      </c>
      <c r="ET36">
        <v>9.31</v>
      </c>
      <c r="EU36">
        <v>3.51</v>
      </c>
      <c r="EV36">
        <v>508.8</v>
      </c>
      <c r="EW36">
        <v>63.84</v>
      </c>
      <c r="EX36">
        <v>0.28999999999999998</v>
      </c>
      <c r="EY36">
        <v>0</v>
      </c>
      <c r="FQ36">
        <v>0</v>
      </c>
      <c r="FR36">
        <f t="shared" si="52"/>
        <v>0</v>
      </c>
      <c r="FS36">
        <v>0</v>
      </c>
      <c r="FT36" t="s">
        <v>36</v>
      </c>
      <c r="FU36" t="s">
        <v>37</v>
      </c>
      <c r="FX36">
        <v>51.8</v>
      </c>
      <c r="FY36">
        <v>45</v>
      </c>
      <c r="GA36" t="s">
        <v>3</v>
      </c>
      <c r="GD36">
        <v>0</v>
      </c>
      <c r="GF36">
        <v>-417119778</v>
      </c>
      <c r="GG36">
        <v>2</v>
      </c>
      <c r="GH36">
        <v>1</v>
      </c>
      <c r="GI36">
        <v>2</v>
      </c>
      <c r="GJ36">
        <v>0</v>
      </c>
      <c r="GK36">
        <f>ROUND(R36*(R12)/100,0)</f>
        <v>0</v>
      </c>
      <c r="GL36">
        <f t="shared" si="53"/>
        <v>0</v>
      </c>
      <c r="GM36">
        <f t="shared" si="54"/>
        <v>211</v>
      </c>
      <c r="GN36">
        <f t="shared" si="55"/>
        <v>211</v>
      </c>
      <c r="GO36">
        <f t="shared" si="56"/>
        <v>0</v>
      </c>
      <c r="GP36">
        <f t="shared" si="57"/>
        <v>0</v>
      </c>
      <c r="GR36">
        <v>0</v>
      </c>
      <c r="GS36">
        <v>3</v>
      </c>
      <c r="GT36">
        <v>0</v>
      </c>
      <c r="GU36" t="s">
        <v>3</v>
      </c>
      <c r="GV36">
        <f t="shared" si="58"/>
        <v>0</v>
      </c>
      <c r="GW36">
        <v>1</v>
      </c>
      <c r="GX36">
        <f t="shared" si="59"/>
        <v>0</v>
      </c>
      <c r="HA36">
        <v>0</v>
      </c>
      <c r="HB36">
        <v>0</v>
      </c>
      <c r="IK36">
        <v>0</v>
      </c>
    </row>
    <row r="37" spans="1:245">
      <c r="A37">
        <v>17</v>
      </c>
      <c r="B37">
        <v>1</v>
      </c>
      <c r="C37">
        <f>ROW(SmtRes!A43)</f>
        <v>43</v>
      </c>
      <c r="D37">
        <f>ROW(EtalonRes!A43)</f>
        <v>43</v>
      </c>
      <c r="E37" t="s">
        <v>75</v>
      </c>
      <c r="F37" t="s">
        <v>76</v>
      </c>
      <c r="G37" t="s">
        <v>77</v>
      </c>
      <c r="H37" t="s">
        <v>71</v>
      </c>
      <c r="I37">
        <f>ROUND(1/100,9)</f>
        <v>0.01</v>
      </c>
      <c r="J37">
        <v>0</v>
      </c>
      <c r="O37">
        <f t="shared" si="21"/>
        <v>86</v>
      </c>
      <c r="P37">
        <f t="shared" si="22"/>
        <v>0</v>
      </c>
      <c r="Q37">
        <f t="shared" si="23"/>
        <v>1</v>
      </c>
      <c r="R37">
        <f t="shared" si="24"/>
        <v>1</v>
      </c>
      <c r="S37">
        <f t="shared" si="25"/>
        <v>85</v>
      </c>
      <c r="T37">
        <f t="shared" si="26"/>
        <v>0</v>
      </c>
      <c r="U37">
        <f t="shared" si="27"/>
        <v>0.51300000000000001</v>
      </c>
      <c r="V37">
        <f t="shared" si="28"/>
        <v>2.6000000000000003E-3</v>
      </c>
      <c r="W37">
        <f t="shared" si="29"/>
        <v>0</v>
      </c>
      <c r="X37">
        <f t="shared" si="30"/>
        <v>45</v>
      </c>
      <c r="Y37">
        <f t="shared" si="31"/>
        <v>39</v>
      </c>
      <c r="AA37">
        <v>48370320</v>
      </c>
      <c r="AB37">
        <f t="shared" si="32"/>
        <v>417.2</v>
      </c>
      <c r="AC37">
        <f t="shared" si="33"/>
        <v>0</v>
      </c>
      <c r="AD37">
        <f t="shared" si="34"/>
        <v>8.34</v>
      </c>
      <c r="AE37">
        <f t="shared" si="35"/>
        <v>3.15</v>
      </c>
      <c r="AF37">
        <f t="shared" si="36"/>
        <v>408.86</v>
      </c>
      <c r="AG37">
        <f t="shared" si="37"/>
        <v>0</v>
      </c>
      <c r="AH37">
        <f t="shared" si="38"/>
        <v>51.3</v>
      </c>
      <c r="AI37">
        <f t="shared" si="39"/>
        <v>0.26</v>
      </c>
      <c r="AJ37">
        <f t="shared" si="40"/>
        <v>0</v>
      </c>
      <c r="AK37">
        <v>417.2</v>
      </c>
      <c r="AL37">
        <v>0</v>
      </c>
      <c r="AM37">
        <v>8.34</v>
      </c>
      <c r="AN37">
        <v>3.15</v>
      </c>
      <c r="AO37">
        <v>408.86</v>
      </c>
      <c r="AP37">
        <v>0</v>
      </c>
      <c r="AQ37">
        <v>51.3</v>
      </c>
      <c r="AR37">
        <v>0.26</v>
      </c>
      <c r="AS37">
        <v>0</v>
      </c>
      <c r="AT37">
        <v>52</v>
      </c>
      <c r="AU37">
        <v>45</v>
      </c>
      <c r="AV37">
        <v>1</v>
      </c>
      <c r="AW37">
        <v>1</v>
      </c>
      <c r="AZ37">
        <v>1</v>
      </c>
      <c r="BA37">
        <v>20.88</v>
      </c>
      <c r="BB37">
        <v>10.220000000000001</v>
      </c>
      <c r="BC37">
        <v>1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78</v>
      </c>
      <c r="BM37">
        <v>65001</v>
      </c>
      <c r="BN37">
        <v>0</v>
      </c>
      <c r="BO37" t="s">
        <v>76</v>
      </c>
      <c r="BP37">
        <v>1</v>
      </c>
      <c r="BQ37">
        <v>6</v>
      </c>
      <c r="BR37">
        <v>0</v>
      </c>
      <c r="BS37">
        <v>20.88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74</v>
      </c>
      <c r="CA37">
        <v>50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41"/>
        <v>86</v>
      </c>
      <c r="CQ37">
        <f t="shared" si="42"/>
        <v>0</v>
      </c>
      <c r="CR37">
        <f t="shared" si="43"/>
        <v>85.234800000000007</v>
      </c>
      <c r="CS37">
        <f t="shared" si="44"/>
        <v>65.771999999999991</v>
      </c>
      <c r="CT37">
        <f t="shared" si="45"/>
        <v>8536.996799999999</v>
      </c>
      <c r="CU37">
        <f t="shared" si="46"/>
        <v>0</v>
      </c>
      <c r="CV37">
        <f t="shared" si="47"/>
        <v>51.3</v>
      </c>
      <c r="CW37">
        <f t="shared" si="48"/>
        <v>0.26</v>
      </c>
      <c r="CX37">
        <f t="shared" si="49"/>
        <v>0</v>
      </c>
      <c r="CY37">
        <f t="shared" si="50"/>
        <v>44.72</v>
      </c>
      <c r="CZ37">
        <f t="shared" si="51"/>
        <v>38.700000000000003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71</v>
      </c>
      <c r="DW37" t="s">
        <v>71</v>
      </c>
      <c r="DX37">
        <v>1</v>
      </c>
      <c r="EE37">
        <v>45269263</v>
      </c>
      <c r="EF37">
        <v>6</v>
      </c>
      <c r="EG37" t="s">
        <v>33</v>
      </c>
      <c r="EH37">
        <v>0</v>
      </c>
      <c r="EI37" t="s">
        <v>3</v>
      </c>
      <c r="EJ37">
        <v>1</v>
      </c>
      <c r="EK37">
        <v>65001</v>
      </c>
      <c r="EL37" t="s">
        <v>73</v>
      </c>
      <c r="EM37" t="s">
        <v>74</v>
      </c>
      <c r="EO37" t="s">
        <v>3</v>
      </c>
      <c r="EQ37">
        <v>0</v>
      </c>
      <c r="ER37">
        <v>417.2</v>
      </c>
      <c r="ES37">
        <v>0</v>
      </c>
      <c r="ET37">
        <v>8.34</v>
      </c>
      <c r="EU37">
        <v>3.15</v>
      </c>
      <c r="EV37">
        <v>408.86</v>
      </c>
      <c r="EW37">
        <v>51.3</v>
      </c>
      <c r="EX37">
        <v>0.26</v>
      </c>
      <c r="EY37">
        <v>0</v>
      </c>
      <c r="FQ37">
        <v>0</v>
      </c>
      <c r="FR37">
        <f t="shared" si="52"/>
        <v>0</v>
      </c>
      <c r="FS37">
        <v>0</v>
      </c>
      <c r="FT37" t="s">
        <v>36</v>
      </c>
      <c r="FU37" t="s">
        <v>37</v>
      </c>
      <c r="FX37">
        <v>51.8</v>
      </c>
      <c r="FY37">
        <v>45</v>
      </c>
      <c r="GA37" t="s">
        <v>3</v>
      </c>
      <c r="GD37">
        <v>0</v>
      </c>
      <c r="GF37">
        <v>-1832059915</v>
      </c>
      <c r="GG37">
        <v>2</v>
      </c>
      <c r="GH37">
        <v>1</v>
      </c>
      <c r="GI37">
        <v>2</v>
      </c>
      <c r="GJ37">
        <v>0</v>
      </c>
      <c r="GK37">
        <f>ROUND(R37*(R12)/100,0)</f>
        <v>0</v>
      </c>
      <c r="GL37">
        <f t="shared" si="53"/>
        <v>0</v>
      </c>
      <c r="GM37">
        <f t="shared" si="54"/>
        <v>170</v>
      </c>
      <c r="GN37">
        <f t="shared" si="55"/>
        <v>170</v>
      </c>
      <c r="GO37">
        <f t="shared" si="56"/>
        <v>0</v>
      </c>
      <c r="GP37">
        <f t="shared" si="57"/>
        <v>0</v>
      </c>
      <c r="GR37">
        <v>0</v>
      </c>
      <c r="GS37">
        <v>3</v>
      </c>
      <c r="GT37">
        <v>0</v>
      </c>
      <c r="GU37" t="s">
        <v>3</v>
      </c>
      <c r="GV37">
        <f t="shared" si="58"/>
        <v>0</v>
      </c>
      <c r="GW37">
        <v>1</v>
      </c>
      <c r="GX37">
        <f t="shared" si="59"/>
        <v>0</v>
      </c>
      <c r="HA37">
        <v>0</v>
      </c>
      <c r="HB37">
        <v>0</v>
      </c>
      <c r="IK37">
        <v>0</v>
      </c>
    </row>
    <row r="38" spans="1:245">
      <c r="A38">
        <v>17</v>
      </c>
      <c r="B38">
        <v>1</v>
      </c>
      <c r="C38">
        <f>ROW(SmtRes!A47)</f>
        <v>47</v>
      </c>
      <c r="D38">
        <f>ROW(EtalonRes!A47)</f>
        <v>47</v>
      </c>
      <c r="E38" t="s">
        <v>79</v>
      </c>
      <c r="F38" t="s">
        <v>80</v>
      </c>
      <c r="G38" t="s">
        <v>81</v>
      </c>
      <c r="H38" t="s">
        <v>82</v>
      </c>
      <c r="I38">
        <f>ROUND(1/100,9)</f>
        <v>0.01</v>
      </c>
      <c r="J38">
        <v>0</v>
      </c>
      <c r="O38">
        <f t="shared" si="21"/>
        <v>231</v>
      </c>
      <c r="P38">
        <f t="shared" si="22"/>
        <v>0</v>
      </c>
      <c r="Q38">
        <f t="shared" si="23"/>
        <v>104</v>
      </c>
      <c r="R38">
        <f t="shared" si="24"/>
        <v>33</v>
      </c>
      <c r="S38">
        <f t="shared" si="25"/>
        <v>127</v>
      </c>
      <c r="T38">
        <f t="shared" si="26"/>
        <v>0</v>
      </c>
      <c r="U38">
        <f t="shared" si="27"/>
        <v>0.68202750000000012</v>
      </c>
      <c r="V38">
        <f t="shared" si="28"/>
        <v>0.17305750000000003</v>
      </c>
      <c r="W38">
        <f t="shared" si="29"/>
        <v>0</v>
      </c>
      <c r="X38">
        <f t="shared" si="30"/>
        <v>110</v>
      </c>
      <c r="Y38">
        <f t="shared" si="31"/>
        <v>86</v>
      </c>
      <c r="AA38">
        <v>48370320</v>
      </c>
      <c r="AB38">
        <f t="shared" si="32"/>
        <v>1692.42</v>
      </c>
      <c r="AC38">
        <f t="shared" si="33"/>
        <v>0</v>
      </c>
      <c r="AD38">
        <f>ROUND((((((ET38*1.1)*1.75))-(((EU38*1.1)*1.75)))+AE38),2)</f>
        <v>1086.0999999999999</v>
      </c>
      <c r="AE38">
        <f>ROUND((((EU38*1.1)*1.75)),2)</f>
        <v>155.75</v>
      </c>
      <c r="AF38">
        <f>ROUND((((EV38*1.1)*1.75)),2)</f>
        <v>606.32000000000005</v>
      </c>
      <c r="AG38">
        <f t="shared" si="37"/>
        <v>0</v>
      </c>
      <c r="AH38">
        <f>(((EW38*1.1)*1.75))</f>
        <v>68.202750000000009</v>
      </c>
      <c r="AI38">
        <f>(((EX38*1.1)*1.75))</f>
        <v>17.305750000000003</v>
      </c>
      <c r="AJ38">
        <f t="shared" si="40"/>
        <v>0</v>
      </c>
      <c r="AK38">
        <v>879.18</v>
      </c>
      <c r="AL38">
        <v>0</v>
      </c>
      <c r="AM38">
        <v>564.21</v>
      </c>
      <c r="AN38">
        <v>80.91</v>
      </c>
      <c r="AO38">
        <v>314.97000000000003</v>
      </c>
      <c r="AP38">
        <v>0</v>
      </c>
      <c r="AQ38">
        <v>35.43</v>
      </c>
      <c r="AR38">
        <v>8.99</v>
      </c>
      <c r="AS38">
        <v>0</v>
      </c>
      <c r="AT38">
        <v>69</v>
      </c>
      <c r="AU38">
        <v>54</v>
      </c>
      <c r="AV38">
        <v>1</v>
      </c>
      <c r="AW38">
        <v>1</v>
      </c>
      <c r="AZ38">
        <v>1</v>
      </c>
      <c r="BA38">
        <v>20.88</v>
      </c>
      <c r="BB38">
        <v>9.6</v>
      </c>
      <c r="BC38">
        <v>1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1</v>
      </c>
      <c r="BJ38" t="s">
        <v>83</v>
      </c>
      <c r="BM38">
        <v>46001</v>
      </c>
      <c r="BN38">
        <v>0</v>
      </c>
      <c r="BO38" t="s">
        <v>80</v>
      </c>
      <c r="BP38">
        <v>1</v>
      </c>
      <c r="BQ38">
        <v>2</v>
      </c>
      <c r="BR38">
        <v>0</v>
      </c>
      <c r="BS38">
        <v>20.88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110</v>
      </c>
      <c r="CA38">
        <v>70</v>
      </c>
      <c r="CF38">
        <v>0</v>
      </c>
      <c r="CG38">
        <v>0</v>
      </c>
      <c r="CM38">
        <v>0</v>
      </c>
      <c r="CN38" t="s">
        <v>84</v>
      </c>
      <c r="CO38">
        <v>0</v>
      </c>
      <c r="CP38">
        <f t="shared" si="41"/>
        <v>231</v>
      </c>
      <c r="CQ38">
        <f t="shared" si="42"/>
        <v>0</v>
      </c>
      <c r="CR38">
        <f t="shared" si="43"/>
        <v>10426.56</v>
      </c>
      <c r="CS38">
        <f t="shared" si="44"/>
        <v>3252.06</v>
      </c>
      <c r="CT38">
        <f t="shared" si="45"/>
        <v>12659.961600000001</v>
      </c>
      <c r="CU38">
        <f t="shared" si="46"/>
        <v>0</v>
      </c>
      <c r="CV38">
        <f t="shared" si="47"/>
        <v>68.202750000000009</v>
      </c>
      <c r="CW38">
        <f t="shared" si="48"/>
        <v>17.305750000000003</v>
      </c>
      <c r="CX38">
        <f t="shared" si="49"/>
        <v>0</v>
      </c>
      <c r="CY38">
        <f t="shared" si="50"/>
        <v>110.4</v>
      </c>
      <c r="CZ38">
        <f t="shared" si="51"/>
        <v>86.4</v>
      </c>
      <c r="DC38" t="s">
        <v>3</v>
      </c>
      <c r="DD38" t="s">
        <v>3</v>
      </c>
      <c r="DE38" t="s">
        <v>85</v>
      </c>
      <c r="DF38" t="s">
        <v>85</v>
      </c>
      <c r="DG38" t="s">
        <v>85</v>
      </c>
      <c r="DH38" t="s">
        <v>3</v>
      </c>
      <c r="DI38" t="s">
        <v>85</v>
      </c>
      <c r="DJ38" t="s">
        <v>85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1013</v>
      </c>
      <c r="DV38" t="s">
        <v>82</v>
      </c>
      <c r="DW38" t="s">
        <v>82</v>
      </c>
      <c r="DX38">
        <v>1</v>
      </c>
      <c r="EE38">
        <v>45269244</v>
      </c>
      <c r="EF38">
        <v>2</v>
      </c>
      <c r="EG38" t="s">
        <v>19</v>
      </c>
      <c r="EH38">
        <v>0</v>
      </c>
      <c r="EI38" t="s">
        <v>3</v>
      </c>
      <c r="EJ38">
        <v>1</v>
      </c>
      <c r="EK38">
        <v>46001</v>
      </c>
      <c r="EL38" t="s">
        <v>20</v>
      </c>
      <c r="EM38" t="s">
        <v>21</v>
      </c>
      <c r="EO38" t="s">
        <v>86</v>
      </c>
      <c r="EQ38">
        <v>0</v>
      </c>
      <c r="ER38">
        <v>879.18</v>
      </c>
      <c r="ES38">
        <v>0</v>
      </c>
      <c r="ET38">
        <v>564.21</v>
      </c>
      <c r="EU38">
        <v>80.91</v>
      </c>
      <c r="EV38">
        <v>314.97000000000003</v>
      </c>
      <c r="EW38">
        <v>35.43</v>
      </c>
      <c r="EX38">
        <v>8.99</v>
      </c>
      <c r="EY38">
        <v>0</v>
      </c>
      <c r="FQ38">
        <v>0</v>
      </c>
      <c r="FR38">
        <f t="shared" si="52"/>
        <v>0</v>
      </c>
      <c r="FS38">
        <v>0</v>
      </c>
      <c r="FT38" t="s">
        <v>22</v>
      </c>
      <c r="FU38" t="s">
        <v>23</v>
      </c>
      <c r="FX38">
        <v>69.3</v>
      </c>
      <c r="FY38">
        <v>53.55</v>
      </c>
      <c r="GA38" t="s">
        <v>3</v>
      </c>
      <c r="GD38">
        <v>0</v>
      </c>
      <c r="GF38">
        <v>586789353</v>
      </c>
      <c r="GG38">
        <v>2</v>
      </c>
      <c r="GH38">
        <v>1</v>
      </c>
      <c r="GI38">
        <v>2</v>
      </c>
      <c r="GJ38">
        <v>0</v>
      </c>
      <c r="GK38">
        <f>ROUND(R38*(R12)/100,0)</f>
        <v>0</v>
      </c>
      <c r="GL38">
        <f t="shared" si="53"/>
        <v>0</v>
      </c>
      <c r="GM38">
        <f t="shared" si="54"/>
        <v>427</v>
      </c>
      <c r="GN38">
        <f t="shared" si="55"/>
        <v>427</v>
      </c>
      <c r="GO38">
        <f t="shared" si="56"/>
        <v>0</v>
      </c>
      <c r="GP38">
        <f t="shared" si="57"/>
        <v>0</v>
      </c>
      <c r="GR38">
        <v>0</v>
      </c>
      <c r="GS38">
        <v>3</v>
      </c>
      <c r="GT38">
        <v>0</v>
      </c>
      <c r="GU38" t="s">
        <v>3</v>
      </c>
      <c r="GV38">
        <f t="shared" si="58"/>
        <v>0</v>
      </c>
      <c r="GW38">
        <v>1</v>
      </c>
      <c r="GX38">
        <f t="shared" si="59"/>
        <v>0</v>
      </c>
      <c r="HA38">
        <v>0</v>
      </c>
      <c r="HB38">
        <v>0</v>
      </c>
      <c r="IK38">
        <v>0</v>
      </c>
    </row>
    <row r="39" spans="1:245">
      <c r="A39">
        <v>17</v>
      </c>
      <c r="B39">
        <v>1</v>
      </c>
      <c r="C39">
        <f>ROW(SmtRes!A56)</f>
        <v>56</v>
      </c>
      <c r="D39">
        <f>ROW(EtalonRes!A56)</f>
        <v>56</v>
      </c>
      <c r="E39" t="s">
        <v>87</v>
      </c>
      <c r="F39" t="s">
        <v>88</v>
      </c>
      <c r="G39" t="s">
        <v>89</v>
      </c>
      <c r="H39" t="s">
        <v>90</v>
      </c>
      <c r="I39">
        <f>ROUND(4/100,9)</f>
        <v>0.04</v>
      </c>
      <c r="J39">
        <v>0</v>
      </c>
      <c r="O39">
        <f t="shared" si="21"/>
        <v>2028</v>
      </c>
      <c r="P39">
        <f t="shared" si="22"/>
        <v>1540</v>
      </c>
      <c r="Q39">
        <f t="shared" si="23"/>
        <v>9</v>
      </c>
      <c r="R39">
        <f t="shared" si="24"/>
        <v>2</v>
      </c>
      <c r="S39">
        <f t="shared" si="25"/>
        <v>479</v>
      </c>
      <c r="T39">
        <f t="shared" si="26"/>
        <v>0</v>
      </c>
      <c r="U39">
        <f t="shared" si="27"/>
        <v>2.476</v>
      </c>
      <c r="V39">
        <f t="shared" si="28"/>
        <v>8.0000000000000002E-3</v>
      </c>
      <c r="W39">
        <f t="shared" si="29"/>
        <v>0</v>
      </c>
      <c r="X39">
        <f t="shared" si="30"/>
        <v>346</v>
      </c>
      <c r="Y39">
        <f t="shared" si="31"/>
        <v>260</v>
      </c>
      <c r="AA39">
        <v>48370320</v>
      </c>
      <c r="AB39">
        <f t="shared" si="32"/>
        <v>12627.43</v>
      </c>
      <c r="AC39">
        <f t="shared" si="33"/>
        <v>12028.85</v>
      </c>
      <c r="AD39">
        <f>ROUND((((ET39)-(EU39))+AE39),2)</f>
        <v>24.77</v>
      </c>
      <c r="AE39">
        <f>ROUND((EU39),2)</f>
        <v>2.42</v>
      </c>
      <c r="AF39">
        <f>ROUND((EV39),2)</f>
        <v>573.80999999999995</v>
      </c>
      <c r="AG39">
        <f t="shared" si="37"/>
        <v>0</v>
      </c>
      <c r="AH39">
        <f>(EW39)</f>
        <v>61.9</v>
      </c>
      <c r="AI39">
        <f>(EX39)</f>
        <v>0.2</v>
      </c>
      <c r="AJ39">
        <f t="shared" si="40"/>
        <v>0</v>
      </c>
      <c r="AK39">
        <v>12627.43</v>
      </c>
      <c r="AL39">
        <v>12028.85</v>
      </c>
      <c r="AM39">
        <v>24.77</v>
      </c>
      <c r="AN39">
        <v>2.42</v>
      </c>
      <c r="AO39">
        <v>573.80999999999995</v>
      </c>
      <c r="AP39">
        <v>0</v>
      </c>
      <c r="AQ39">
        <v>61.9</v>
      </c>
      <c r="AR39">
        <v>0.2</v>
      </c>
      <c r="AS39">
        <v>0</v>
      </c>
      <c r="AT39">
        <v>72</v>
      </c>
      <c r="AU39">
        <v>54</v>
      </c>
      <c r="AV39">
        <v>1</v>
      </c>
      <c r="AW39">
        <v>1</v>
      </c>
      <c r="AZ39">
        <v>1</v>
      </c>
      <c r="BA39">
        <v>20.88</v>
      </c>
      <c r="BB39">
        <v>9.4600000000000009</v>
      </c>
      <c r="BC39">
        <v>3.2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91</v>
      </c>
      <c r="BM39">
        <v>65007</v>
      </c>
      <c r="BN39">
        <v>0</v>
      </c>
      <c r="BO39" t="s">
        <v>88</v>
      </c>
      <c r="BP39">
        <v>1</v>
      </c>
      <c r="BQ39">
        <v>6</v>
      </c>
      <c r="BR39">
        <v>0</v>
      </c>
      <c r="BS39">
        <v>20.88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103</v>
      </c>
      <c r="CA39">
        <v>60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41"/>
        <v>2028</v>
      </c>
      <c r="CQ39">
        <f t="shared" si="42"/>
        <v>38492.32</v>
      </c>
      <c r="CR39">
        <f t="shared" si="43"/>
        <v>234.32420000000002</v>
      </c>
      <c r="CS39">
        <f t="shared" si="44"/>
        <v>50.529599999999995</v>
      </c>
      <c r="CT39">
        <f t="shared" si="45"/>
        <v>11981.152799999998</v>
      </c>
      <c r="CU39">
        <f t="shared" si="46"/>
        <v>0</v>
      </c>
      <c r="CV39">
        <f t="shared" si="47"/>
        <v>61.9</v>
      </c>
      <c r="CW39">
        <f t="shared" si="48"/>
        <v>0.2</v>
      </c>
      <c r="CX39">
        <f t="shared" si="49"/>
        <v>0</v>
      </c>
      <c r="CY39">
        <f t="shared" si="50"/>
        <v>346.32</v>
      </c>
      <c r="CZ39">
        <f t="shared" si="51"/>
        <v>259.74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90</v>
      </c>
      <c r="DW39" t="s">
        <v>90</v>
      </c>
      <c r="DX39">
        <v>1</v>
      </c>
      <c r="EE39">
        <v>45269275</v>
      </c>
      <c r="EF39">
        <v>6</v>
      </c>
      <c r="EG39" t="s">
        <v>33</v>
      </c>
      <c r="EH39">
        <v>0</v>
      </c>
      <c r="EI39" t="s">
        <v>3</v>
      </c>
      <c r="EJ39">
        <v>1</v>
      </c>
      <c r="EK39">
        <v>65007</v>
      </c>
      <c r="EL39" t="s">
        <v>92</v>
      </c>
      <c r="EM39" t="s">
        <v>74</v>
      </c>
      <c r="EO39" t="s">
        <v>3</v>
      </c>
      <c r="EQ39">
        <v>0</v>
      </c>
      <c r="ER39">
        <v>12627.43</v>
      </c>
      <c r="ES39">
        <v>12028.85</v>
      </c>
      <c r="ET39">
        <v>24.77</v>
      </c>
      <c r="EU39">
        <v>2.42</v>
      </c>
      <c r="EV39">
        <v>573.80999999999995</v>
      </c>
      <c r="EW39">
        <v>61.9</v>
      </c>
      <c r="EX39">
        <v>0.2</v>
      </c>
      <c r="EY39">
        <v>0</v>
      </c>
      <c r="FQ39">
        <v>0</v>
      </c>
      <c r="FR39">
        <f t="shared" si="52"/>
        <v>0</v>
      </c>
      <c r="FS39">
        <v>0</v>
      </c>
      <c r="FT39" t="s">
        <v>36</v>
      </c>
      <c r="FU39" t="s">
        <v>37</v>
      </c>
      <c r="FX39">
        <v>72.099999999999994</v>
      </c>
      <c r="FY39">
        <v>54</v>
      </c>
      <c r="GA39" t="s">
        <v>3</v>
      </c>
      <c r="GD39">
        <v>0</v>
      </c>
      <c r="GF39">
        <v>945088844</v>
      </c>
      <c r="GG39">
        <v>2</v>
      </c>
      <c r="GH39">
        <v>1</v>
      </c>
      <c r="GI39">
        <v>2</v>
      </c>
      <c r="GJ39">
        <v>0</v>
      </c>
      <c r="GK39">
        <f>ROUND(R39*(R12)/100,0)</f>
        <v>0</v>
      </c>
      <c r="GL39">
        <f t="shared" si="53"/>
        <v>0</v>
      </c>
      <c r="GM39">
        <f t="shared" si="54"/>
        <v>2634</v>
      </c>
      <c r="GN39">
        <f t="shared" si="55"/>
        <v>2634</v>
      </c>
      <c r="GO39">
        <f t="shared" si="56"/>
        <v>0</v>
      </c>
      <c r="GP39">
        <f t="shared" si="57"/>
        <v>0</v>
      </c>
      <c r="GR39">
        <v>0</v>
      </c>
      <c r="GS39">
        <v>3</v>
      </c>
      <c r="GT39">
        <v>0</v>
      </c>
      <c r="GU39" t="s">
        <v>3</v>
      </c>
      <c r="GV39">
        <f t="shared" si="58"/>
        <v>0</v>
      </c>
      <c r="GW39">
        <v>1</v>
      </c>
      <c r="GX39">
        <f t="shared" si="59"/>
        <v>0</v>
      </c>
      <c r="HA39">
        <v>0</v>
      </c>
      <c r="HB39">
        <v>0</v>
      </c>
      <c r="IK39">
        <v>0</v>
      </c>
    </row>
    <row r="40" spans="1:245">
      <c r="A40">
        <v>17</v>
      </c>
      <c r="B40">
        <v>1</v>
      </c>
      <c r="C40">
        <f>ROW(SmtRes!A73)</f>
        <v>73</v>
      </c>
      <c r="D40">
        <f>ROW(EtalonRes!A73)</f>
        <v>73</v>
      </c>
      <c r="E40" t="s">
        <v>93</v>
      </c>
      <c r="F40" t="s">
        <v>94</v>
      </c>
      <c r="G40" t="s">
        <v>95</v>
      </c>
      <c r="H40" t="s">
        <v>96</v>
      </c>
      <c r="I40">
        <f>ROUND(6/100,9)</f>
        <v>0.06</v>
      </c>
      <c r="J40">
        <v>0</v>
      </c>
      <c r="O40">
        <f t="shared" si="21"/>
        <v>660</v>
      </c>
      <c r="P40">
        <f t="shared" si="22"/>
        <v>0</v>
      </c>
      <c r="Q40">
        <f t="shared" si="23"/>
        <v>94</v>
      </c>
      <c r="R40">
        <f t="shared" si="24"/>
        <v>29</v>
      </c>
      <c r="S40">
        <f t="shared" si="25"/>
        <v>566</v>
      </c>
      <c r="T40">
        <f t="shared" si="26"/>
        <v>0</v>
      </c>
      <c r="U40">
        <f t="shared" si="27"/>
        <v>2.9232</v>
      </c>
      <c r="V40">
        <f t="shared" si="28"/>
        <v>0.11327999999999999</v>
      </c>
      <c r="W40">
        <f t="shared" si="29"/>
        <v>0</v>
      </c>
      <c r="X40">
        <f t="shared" si="30"/>
        <v>482</v>
      </c>
      <c r="Y40">
        <f t="shared" si="31"/>
        <v>375</v>
      </c>
      <c r="AA40">
        <v>48370320</v>
      </c>
      <c r="AB40">
        <f t="shared" si="32"/>
        <v>652.19000000000005</v>
      </c>
      <c r="AC40">
        <f>ROUND(((ES40*0)),2)</f>
        <v>0</v>
      </c>
      <c r="AD40">
        <f>ROUND(((((ET40*0.4))-((EU40*0.4)))+AE40),2)</f>
        <v>200.55</v>
      </c>
      <c r="AE40">
        <f>ROUND(((EU40*0.4)),2)</f>
        <v>22.84</v>
      </c>
      <c r="AF40">
        <f>ROUND(((EV40*0.4)),2)</f>
        <v>451.64</v>
      </c>
      <c r="AG40">
        <f t="shared" si="37"/>
        <v>0</v>
      </c>
      <c r="AH40">
        <f>((EW40*0.4))</f>
        <v>48.72</v>
      </c>
      <c r="AI40">
        <f>((EX40*0.4))</f>
        <v>1.8879999999999999</v>
      </c>
      <c r="AJ40">
        <f t="shared" si="40"/>
        <v>0</v>
      </c>
      <c r="AK40">
        <v>2375.66</v>
      </c>
      <c r="AL40">
        <v>745.18</v>
      </c>
      <c r="AM40">
        <v>501.39</v>
      </c>
      <c r="AN40">
        <v>57.11</v>
      </c>
      <c r="AO40">
        <v>1129.0899999999999</v>
      </c>
      <c r="AP40">
        <v>0</v>
      </c>
      <c r="AQ40">
        <v>121.8</v>
      </c>
      <c r="AR40">
        <v>4.72</v>
      </c>
      <c r="AS40">
        <v>0</v>
      </c>
      <c r="AT40">
        <v>81</v>
      </c>
      <c r="AU40">
        <v>63</v>
      </c>
      <c r="AV40">
        <v>1</v>
      </c>
      <c r="AW40">
        <v>1</v>
      </c>
      <c r="AZ40">
        <v>1</v>
      </c>
      <c r="BA40">
        <v>20.88</v>
      </c>
      <c r="BB40">
        <v>7.82</v>
      </c>
      <c r="BC40">
        <v>3.54</v>
      </c>
      <c r="BD40" t="s">
        <v>3</v>
      </c>
      <c r="BE40" t="s">
        <v>3</v>
      </c>
      <c r="BF40" t="s">
        <v>3</v>
      </c>
      <c r="BG40" t="s">
        <v>3</v>
      </c>
      <c r="BH40">
        <v>0</v>
      </c>
      <c r="BI40">
        <v>1</v>
      </c>
      <c r="BJ40" t="s">
        <v>97</v>
      </c>
      <c r="BM40">
        <v>16001</v>
      </c>
      <c r="BN40">
        <v>0</v>
      </c>
      <c r="BO40" t="s">
        <v>94</v>
      </c>
      <c r="BP40">
        <v>1</v>
      </c>
      <c r="BQ40">
        <v>2</v>
      </c>
      <c r="BR40">
        <v>0</v>
      </c>
      <c r="BS40">
        <v>20.88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128</v>
      </c>
      <c r="CA40">
        <v>83</v>
      </c>
      <c r="CF40">
        <v>0</v>
      </c>
      <c r="CG40">
        <v>0</v>
      </c>
      <c r="CM40">
        <v>0</v>
      </c>
      <c r="CN40" t="s">
        <v>98</v>
      </c>
      <c r="CO40">
        <v>0</v>
      </c>
      <c r="CP40">
        <f t="shared" si="41"/>
        <v>660</v>
      </c>
      <c r="CQ40">
        <f t="shared" si="42"/>
        <v>0</v>
      </c>
      <c r="CR40">
        <f t="shared" si="43"/>
        <v>1568.3010000000002</v>
      </c>
      <c r="CS40">
        <f t="shared" si="44"/>
        <v>476.89919999999995</v>
      </c>
      <c r="CT40">
        <f t="shared" si="45"/>
        <v>9430.243199999999</v>
      </c>
      <c r="CU40">
        <f t="shared" si="46"/>
        <v>0</v>
      </c>
      <c r="CV40">
        <f t="shared" si="47"/>
        <v>48.72</v>
      </c>
      <c r="CW40">
        <f t="shared" si="48"/>
        <v>1.8879999999999999</v>
      </c>
      <c r="CX40">
        <f t="shared" si="49"/>
        <v>0</v>
      </c>
      <c r="CY40">
        <f t="shared" si="50"/>
        <v>481.95</v>
      </c>
      <c r="CZ40">
        <f t="shared" si="51"/>
        <v>374.85</v>
      </c>
      <c r="DC40" t="s">
        <v>3</v>
      </c>
      <c r="DD40" t="s">
        <v>99</v>
      </c>
      <c r="DE40" t="s">
        <v>100</v>
      </c>
      <c r="DF40" t="s">
        <v>100</v>
      </c>
      <c r="DG40" t="s">
        <v>100</v>
      </c>
      <c r="DH40" t="s">
        <v>3</v>
      </c>
      <c r="DI40" t="s">
        <v>100</v>
      </c>
      <c r="DJ40" t="s">
        <v>100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1013</v>
      </c>
      <c r="DV40" t="s">
        <v>96</v>
      </c>
      <c r="DW40" t="s">
        <v>96</v>
      </c>
      <c r="DX40">
        <v>1</v>
      </c>
      <c r="EE40">
        <v>45269203</v>
      </c>
      <c r="EF40">
        <v>2</v>
      </c>
      <c r="EG40" t="s">
        <v>19</v>
      </c>
      <c r="EH40">
        <v>0</v>
      </c>
      <c r="EI40" t="s">
        <v>3</v>
      </c>
      <c r="EJ40">
        <v>1</v>
      </c>
      <c r="EK40">
        <v>16001</v>
      </c>
      <c r="EL40" t="s">
        <v>101</v>
      </c>
      <c r="EM40" t="s">
        <v>102</v>
      </c>
      <c r="EO40" t="s">
        <v>103</v>
      </c>
      <c r="EQ40">
        <v>0</v>
      </c>
      <c r="ER40">
        <v>2375.66</v>
      </c>
      <c r="ES40">
        <v>745.18</v>
      </c>
      <c r="ET40">
        <v>501.39</v>
      </c>
      <c r="EU40">
        <v>57.11</v>
      </c>
      <c r="EV40">
        <v>1129.0899999999999</v>
      </c>
      <c r="EW40">
        <v>121.8</v>
      </c>
      <c r="EX40">
        <v>4.72</v>
      </c>
      <c r="EY40">
        <v>0</v>
      </c>
      <c r="FQ40">
        <v>0</v>
      </c>
      <c r="FR40">
        <f t="shared" si="52"/>
        <v>0</v>
      </c>
      <c r="FS40">
        <v>0</v>
      </c>
      <c r="FT40" t="s">
        <v>22</v>
      </c>
      <c r="FU40" t="s">
        <v>23</v>
      </c>
      <c r="FX40">
        <v>80.64</v>
      </c>
      <c r="FY40">
        <v>63.494999999999997</v>
      </c>
      <c r="GA40" t="s">
        <v>3</v>
      </c>
      <c r="GD40">
        <v>0</v>
      </c>
      <c r="GF40">
        <v>-1480310297</v>
      </c>
      <c r="GG40">
        <v>2</v>
      </c>
      <c r="GH40">
        <v>1</v>
      </c>
      <c r="GI40">
        <v>2</v>
      </c>
      <c r="GJ40">
        <v>0</v>
      </c>
      <c r="GK40">
        <f>ROUND(R40*(R12)/100,0)</f>
        <v>0</v>
      </c>
      <c r="GL40">
        <f t="shared" si="53"/>
        <v>0</v>
      </c>
      <c r="GM40">
        <f t="shared" si="54"/>
        <v>1517</v>
      </c>
      <c r="GN40">
        <f t="shared" si="55"/>
        <v>1517</v>
      </c>
      <c r="GO40">
        <f t="shared" si="56"/>
        <v>0</v>
      </c>
      <c r="GP40">
        <f t="shared" si="57"/>
        <v>0</v>
      </c>
      <c r="GR40">
        <v>0</v>
      </c>
      <c r="GS40">
        <v>3</v>
      </c>
      <c r="GT40">
        <v>0</v>
      </c>
      <c r="GU40" t="s">
        <v>3</v>
      </c>
      <c r="GV40">
        <f t="shared" si="58"/>
        <v>0</v>
      </c>
      <c r="GW40">
        <v>1</v>
      </c>
      <c r="GX40">
        <f t="shared" si="59"/>
        <v>0</v>
      </c>
      <c r="HA40">
        <v>0</v>
      </c>
      <c r="HB40">
        <v>0</v>
      </c>
      <c r="IK40">
        <v>0</v>
      </c>
    </row>
    <row r="42" spans="1:245">
      <c r="A42" s="2">
        <v>51</v>
      </c>
      <c r="B42" s="2">
        <f>B24</f>
        <v>1</v>
      </c>
      <c r="C42" s="2">
        <f>A24</f>
        <v>4</v>
      </c>
      <c r="D42" s="2">
        <f>ROW(A24)</f>
        <v>24</v>
      </c>
      <c r="E42" s="2"/>
      <c r="F42" s="2" t="str">
        <f>IF(F24&lt;&gt;"",F24,"")</f>
        <v>1</v>
      </c>
      <c r="G42" s="2" t="str">
        <f>IF(G24&lt;&gt;"",G24,"")</f>
        <v>Демонтажные работы</v>
      </c>
      <c r="H42" s="2">
        <v>0</v>
      </c>
      <c r="I42" s="2"/>
      <c r="J42" s="2"/>
      <c r="K42" s="2"/>
      <c r="L42" s="2"/>
      <c r="M42" s="2"/>
      <c r="N42" s="2"/>
      <c r="O42" s="2">
        <f t="shared" ref="O42:T42" si="60">ROUND(AB42,0)</f>
        <v>9321</v>
      </c>
      <c r="P42" s="2">
        <f t="shared" si="60"/>
        <v>2316</v>
      </c>
      <c r="Q42" s="2">
        <f t="shared" si="60"/>
        <v>973</v>
      </c>
      <c r="R42" s="2">
        <f t="shared" si="60"/>
        <v>354</v>
      </c>
      <c r="S42" s="2">
        <f t="shared" si="60"/>
        <v>6032</v>
      </c>
      <c r="T42" s="2">
        <f t="shared" si="60"/>
        <v>0</v>
      </c>
      <c r="U42" s="2">
        <f>AH42</f>
        <v>36.502629500000005</v>
      </c>
      <c r="V42" s="2">
        <f>AI42</f>
        <v>1.7183695000000001</v>
      </c>
      <c r="W42" s="2">
        <f>ROUND(AJ42,0)</f>
        <v>0</v>
      </c>
      <c r="X42" s="2">
        <f>ROUND(AK42,0)</f>
        <v>4097</v>
      </c>
      <c r="Y42" s="2">
        <f>ROUND(AL42,0)</f>
        <v>3382</v>
      </c>
      <c r="Z42" s="2"/>
      <c r="AA42" s="2"/>
      <c r="AB42" s="2">
        <f>ROUND(SUMIF(AA28:AA40,"=48370320",O28:O40),0)</f>
        <v>9321</v>
      </c>
      <c r="AC42" s="2">
        <f>ROUND(SUMIF(AA28:AA40,"=48370320",P28:P40),0)</f>
        <v>2316</v>
      </c>
      <c r="AD42" s="2">
        <f>ROUND(SUMIF(AA28:AA40,"=48370320",Q28:Q40),0)</f>
        <v>973</v>
      </c>
      <c r="AE42" s="2">
        <f>ROUND(SUMIF(AA28:AA40,"=48370320",R28:R40),0)</f>
        <v>354</v>
      </c>
      <c r="AF42" s="2">
        <f>ROUND(SUMIF(AA28:AA40,"=48370320",S28:S40),0)</f>
        <v>6032</v>
      </c>
      <c r="AG42" s="2">
        <f>ROUND(SUMIF(AA28:AA40,"=48370320",T28:T40),0)</f>
        <v>0</v>
      </c>
      <c r="AH42" s="2">
        <f>SUMIF(AA28:AA40,"=48370320",U28:U40)</f>
        <v>36.502629500000005</v>
      </c>
      <c r="AI42" s="2">
        <f>SUMIF(AA28:AA40,"=48370320",V28:V40)</f>
        <v>1.7183695000000001</v>
      </c>
      <c r="AJ42" s="2">
        <f>ROUND(SUMIF(AA28:AA40,"=48370320",W28:W40),0)</f>
        <v>0</v>
      </c>
      <c r="AK42" s="2">
        <f>ROUND(SUMIF(AA28:AA40,"=48370320",X28:X40),0)</f>
        <v>4097</v>
      </c>
      <c r="AL42" s="2">
        <f>ROUND(SUMIF(AA28:AA40,"=48370320",Y28:Y40),0)</f>
        <v>3382</v>
      </c>
      <c r="AM42" s="2"/>
      <c r="AN42" s="2"/>
      <c r="AO42" s="2">
        <f t="shared" ref="AO42:BC42" si="61">ROUND(BX42,0)</f>
        <v>0</v>
      </c>
      <c r="AP42" s="2">
        <f t="shared" si="61"/>
        <v>0</v>
      </c>
      <c r="AQ42" s="2">
        <f t="shared" si="61"/>
        <v>0</v>
      </c>
      <c r="AR42" s="2">
        <f t="shared" si="61"/>
        <v>16800</v>
      </c>
      <c r="AS42" s="2">
        <f t="shared" si="61"/>
        <v>16800</v>
      </c>
      <c r="AT42" s="2">
        <f t="shared" si="61"/>
        <v>0</v>
      </c>
      <c r="AU42" s="2">
        <f t="shared" si="61"/>
        <v>0</v>
      </c>
      <c r="AV42" s="2">
        <f t="shared" si="61"/>
        <v>2316</v>
      </c>
      <c r="AW42" s="2">
        <f t="shared" si="61"/>
        <v>2316</v>
      </c>
      <c r="AX42" s="2">
        <f t="shared" si="61"/>
        <v>0</v>
      </c>
      <c r="AY42" s="2">
        <f t="shared" si="61"/>
        <v>2316</v>
      </c>
      <c r="AZ42" s="2">
        <f t="shared" si="61"/>
        <v>0</v>
      </c>
      <c r="BA42" s="2">
        <f t="shared" si="61"/>
        <v>0</v>
      </c>
      <c r="BB42" s="2">
        <f t="shared" si="61"/>
        <v>0</v>
      </c>
      <c r="BC42" s="2">
        <f t="shared" si="61"/>
        <v>0</v>
      </c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>
        <f>ROUND(SUMIF(AA28:AA40,"=48370320",FQ28:FQ40),0)</f>
        <v>0</v>
      </c>
      <c r="BY42" s="2">
        <f>ROUND(SUMIF(AA28:AA40,"=48370320",FR28:FR40),0)</f>
        <v>0</v>
      </c>
      <c r="BZ42" s="2">
        <f>ROUND(SUMIF(AA28:AA40,"=48370320",GL28:GL40),0)</f>
        <v>0</v>
      </c>
      <c r="CA42" s="2">
        <f>ROUND(SUMIF(AA28:AA40,"=48370320",GM28:GM40),0)</f>
        <v>16800</v>
      </c>
      <c r="CB42" s="2">
        <f>ROUND(SUMIF(AA28:AA40,"=48370320",GN28:GN40),0)</f>
        <v>16800</v>
      </c>
      <c r="CC42" s="2">
        <f>ROUND(SUMIF(AA28:AA40,"=48370320",GO28:GO40),0)</f>
        <v>0</v>
      </c>
      <c r="CD42" s="2">
        <f>ROUND(SUMIF(AA28:AA40,"=48370320",GP28:GP40),0)</f>
        <v>0</v>
      </c>
      <c r="CE42" s="2">
        <f>AC42-BX42</f>
        <v>2316</v>
      </c>
      <c r="CF42" s="2">
        <f>AC42-BY42</f>
        <v>2316</v>
      </c>
      <c r="CG42" s="2">
        <f>BX42-BZ42</f>
        <v>0</v>
      </c>
      <c r="CH42" s="2">
        <f>AC42-BX42-BY42+BZ42</f>
        <v>2316</v>
      </c>
      <c r="CI42" s="2">
        <f>BY42-BZ42</f>
        <v>0</v>
      </c>
      <c r="CJ42" s="2">
        <f>ROUND(SUMIF(AA28:AA40,"=48370320",GX28:GX40),0)</f>
        <v>0</v>
      </c>
      <c r="CK42" s="2">
        <f>ROUND(SUMIF(AA28:AA40,"=48370320",GY28:GY40),0)</f>
        <v>0</v>
      </c>
      <c r="CL42" s="2">
        <f>ROUND(SUMIF(AA28:AA40,"=48370320",GZ28:GZ40),0)</f>
        <v>0</v>
      </c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>
        <v>0</v>
      </c>
    </row>
    <row r="44" spans="1:245">
      <c r="A44" s="4">
        <v>50</v>
      </c>
      <c r="B44" s="4">
        <v>0</v>
      </c>
      <c r="C44" s="4">
        <v>0</v>
      </c>
      <c r="D44" s="4">
        <v>1</v>
      </c>
      <c r="E44" s="4">
        <v>201</v>
      </c>
      <c r="F44" s="4">
        <f>ROUND(Source!O42,O44)</f>
        <v>9321</v>
      </c>
      <c r="G44" s="4" t="s">
        <v>104</v>
      </c>
      <c r="H44" s="4" t="s">
        <v>105</v>
      </c>
      <c r="I44" s="4"/>
      <c r="J44" s="4"/>
      <c r="K44" s="4">
        <v>201</v>
      </c>
      <c r="L44" s="4">
        <v>1</v>
      </c>
      <c r="M44" s="4">
        <v>3</v>
      </c>
      <c r="N44" s="4" t="s">
        <v>3</v>
      </c>
      <c r="O44" s="4">
        <v>0</v>
      </c>
      <c r="P44" s="4"/>
      <c r="Q44" s="4"/>
      <c r="R44" s="4"/>
      <c r="S44" s="4"/>
      <c r="T44" s="4"/>
      <c r="U44" s="4"/>
      <c r="V44" s="4"/>
      <c r="W44" s="4"/>
    </row>
    <row r="45" spans="1:245">
      <c r="A45" s="4">
        <v>50</v>
      </c>
      <c r="B45" s="4">
        <v>0</v>
      </c>
      <c r="C45" s="4">
        <v>0</v>
      </c>
      <c r="D45" s="4">
        <v>1</v>
      </c>
      <c r="E45" s="4">
        <v>202</v>
      </c>
      <c r="F45" s="4">
        <f>ROUND(Source!P42,O45)</f>
        <v>2316</v>
      </c>
      <c r="G45" s="4" t="s">
        <v>106</v>
      </c>
      <c r="H45" s="4" t="s">
        <v>107</v>
      </c>
      <c r="I45" s="4"/>
      <c r="J45" s="4"/>
      <c r="K45" s="4">
        <v>202</v>
      </c>
      <c r="L45" s="4">
        <v>2</v>
      </c>
      <c r="M45" s="4">
        <v>3</v>
      </c>
      <c r="N45" s="4" t="s">
        <v>3</v>
      </c>
      <c r="O45" s="4">
        <v>0</v>
      </c>
      <c r="P45" s="4"/>
      <c r="Q45" s="4"/>
      <c r="R45" s="4"/>
      <c r="S45" s="4"/>
      <c r="T45" s="4"/>
      <c r="U45" s="4"/>
      <c r="V45" s="4"/>
      <c r="W45" s="4"/>
    </row>
    <row r="46" spans="1:245">
      <c r="A46" s="4">
        <v>50</v>
      </c>
      <c r="B46" s="4">
        <v>0</v>
      </c>
      <c r="C46" s="4">
        <v>0</v>
      </c>
      <c r="D46" s="4">
        <v>1</v>
      </c>
      <c r="E46" s="4">
        <v>222</v>
      </c>
      <c r="F46" s="4">
        <f>ROUND(Source!AO42,O46)</f>
        <v>0</v>
      </c>
      <c r="G46" s="4" t="s">
        <v>108</v>
      </c>
      <c r="H46" s="4" t="s">
        <v>109</v>
      </c>
      <c r="I46" s="4"/>
      <c r="J46" s="4"/>
      <c r="K46" s="4">
        <v>222</v>
      </c>
      <c r="L46" s="4">
        <v>3</v>
      </c>
      <c r="M46" s="4">
        <v>3</v>
      </c>
      <c r="N46" s="4" t="s">
        <v>3</v>
      </c>
      <c r="O46" s="4">
        <v>0</v>
      </c>
      <c r="P46" s="4"/>
      <c r="Q46" s="4"/>
      <c r="R46" s="4"/>
      <c r="S46" s="4"/>
      <c r="T46" s="4"/>
      <c r="U46" s="4"/>
      <c r="V46" s="4"/>
      <c r="W46" s="4"/>
    </row>
    <row r="47" spans="1:245">
      <c r="A47" s="4">
        <v>50</v>
      </c>
      <c r="B47" s="4">
        <v>0</v>
      </c>
      <c r="C47" s="4">
        <v>0</v>
      </c>
      <c r="D47" s="4">
        <v>1</v>
      </c>
      <c r="E47" s="4">
        <v>225</v>
      </c>
      <c r="F47" s="4">
        <f>ROUND(Source!AV42,O47)</f>
        <v>2316</v>
      </c>
      <c r="G47" s="4" t="s">
        <v>110</v>
      </c>
      <c r="H47" s="4" t="s">
        <v>111</v>
      </c>
      <c r="I47" s="4"/>
      <c r="J47" s="4"/>
      <c r="K47" s="4">
        <v>225</v>
      </c>
      <c r="L47" s="4">
        <v>4</v>
      </c>
      <c r="M47" s="4">
        <v>3</v>
      </c>
      <c r="N47" s="4" t="s">
        <v>3</v>
      </c>
      <c r="O47" s="4">
        <v>0</v>
      </c>
      <c r="P47" s="4"/>
      <c r="Q47" s="4"/>
      <c r="R47" s="4"/>
      <c r="S47" s="4"/>
      <c r="T47" s="4"/>
      <c r="U47" s="4"/>
      <c r="V47" s="4"/>
      <c r="W47" s="4"/>
    </row>
    <row r="48" spans="1:245">
      <c r="A48" s="4">
        <v>50</v>
      </c>
      <c r="B48" s="4">
        <v>0</v>
      </c>
      <c r="C48" s="4">
        <v>0</v>
      </c>
      <c r="D48" s="4">
        <v>1</v>
      </c>
      <c r="E48" s="4">
        <v>226</v>
      </c>
      <c r="F48" s="4">
        <f>ROUND(Source!AW42,O48)</f>
        <v>2316</v>
      </c>
      <c r="G48" s="4" t="s">
        <v>112</v>
      </c>
      <c r="H48" s="4" t="s">
        <v>113</v>
      </c>
      <c r="I48" s="4"/>
      <c r="J48" s="4"/>
      <c r="K48" s="4">
        <v>226</v>
      </c>
      <c r="L48" s="4">
        <v>5</v>
      </c>
      <c r="M48" s="4">
        <v>3</v>
      </c>
      <c r="N48" s="4" t="s">
        <v>3</v>
      </c>
      <c r="O48" s="4">
        <v>0</v>
      </c>
      <c r="P48" s="4"/>
      <c r="Q48" s="4"/>
      <c r="R48" s="4"/>
      <c r="S48" s="4"/>
      <c r="T48" s="4"/>
      <c r="U48" s="4"/>
      <c r="V48" s="4"/>
      <c r="W48" s="4"/>
    </row>
    <row r="49" spans="1:23">
      <c r="A49" s="4">
        <v>50</v>
      </c>
      <c r="B49" s="4">
        <v>0</v>
      </c>
      <c r="C49" s="4">
        <v>0</v>
      </c>
      <c r="D49" s="4">
        <v>1</v>
      </c>
      <c r="E49" s="4">
        <v>227</v>
      </c>
      <c r="F49" s="4">
        <f>ROUND(Source!AX42,O49)</f>
        <v>0</v>
      </c>
      <c r="G49" s="4" t="s">
        <v>114</v>
      </c>
      <c r="H49" s="4" t="s">
        <v>115</v>
      </c>
      <c r="I49" s="4"/>
      <c r="J49" s="4"/>
      <c r="K49" s="4">
        <v>227</v>
      </c>
      <c r="L49" s="4">
        <v>6</v>
      </c>
      <c r="M49" s="4">
        <v>3</v>
      </c>
      <c r="N49" s="4" t="s">
        <v>3</v>
      </c>
      <c r="O49" s="4">
        <v>0</v>
      </c>
      <c r="P49" s="4"/>
      <c r="Q49" s="4"/>
      <c r="R49" s="4"/>
      <c r="S49" s="4"/>
      <c r="T49" s="4"/>
      <c r="U49" s="4"/>
      <c r="V49" s="4"/>
      <c r="W49" s="4"/>
    </row>
    <row r="50" spans="1:23">
      <c r="A50" s="4">
        <v>50</v>
      </c>
      <c r="B50" s="4">
        <v>0</v>
      </c>
      <c r="C50" s="4">
        <v>0</v>
      </c>
      <c r="D50" s="4">
        <v>1</v>
      </c>
      <c r="E50" s="4">
        <v>228</v>
      </c>
      <c r="F50" s="4">
        <f>ROUND(Source!AY42,O50)</f>
        <v>2316</v>
      </c>
      <c r="G50" s="4" t="s">
        <v>116</v>
      </c>
      <c r="H50" s="4" t="s">
        <v>117</v>
      </c>
      <c r="I50" s="4"/>
      <c r="J50" s="4"/>
      <c r="K50" s="4">
        <v>228</v>
      </c>
      <c r="L50" s="4">
        <v>7</v>
      </c>
      <c r="M50" s="4">
        <v>3</v>
      </c>
      <c r="N50" s="4" t="s">
        <v>3</v>
      </c>
      <c r="O50" s="4">
        <v>0</v>
      </c>
      <c r="P50" s="4"/>
      <c r="Q50" s="4"/>
      <c r="R50" s="4"/>
      <c r="S50" s="4"/>
      <c r="T50" s="4"/>
      <c r="U50" s="4"/>
      <c r="V50" s="4"/>
      <c r="W50" s="4"/>
    </row>
    <row r="51" spans="1:23">
      <c r="A51" s="4">
        <v>50</v>
      </c>
      <c r="B51" s="4">
        <v>0</v>
      </c>
      <c r="C51" s="4">
        <v>0</v>
      </c>
      <c r="D51" s="4">
        <v>1</v>
      </c>
      <c r="E51" s="4">
        <v>216</v>
      </c>
      <c r="F51" s="4">
        <f>ROUND(Source!AP42,O51)</f>
        <v>0</v>
      </c>
      <c r="G51" s="4" t="s">
        <v>118</v>
      </c>
      <c r="H51" s="4" t="s">
        <v>119</v>
      </c>
      <c r="I51" s="4"/>
      <c r="J51" s="4"/>
      <c r="K51" s="4">
        <v>216</v>
      </c>
      <c r="L51" s="4">
        <v>8</v>
      </c>
      <c r="M51" s="4">
        <v>3</v>
      </c>
      <c r="N51" s="4" t="s">
        <v>3</v>
      </c>
      <c r="O51" s="4">
        <v>0</v>
      </c>
      <c r="P51" s="4"/>
      <c r="Q51" s="4"/>
      <c r="R51" s="4"/>
      <c r="S51" s="4"/>
      <c r="T51" s="4"/>
      <c r="U51" s="4"/>
      <c r="V51" s="4"/>
      <c r="W51" s="4"/>
    </row>
    <row r="52" spans="1:23">
      <c r="A52" s="4">
        <v>50</v>
      </c>
      <c r="B52" s="4">
        <v>0</v>
      </c>
      <c r="C52" s="4">
        <v>0</v>
      </c>
      <c r="D52" s="4">
        <v>1</v>
      </c>
      <c r="E52" s="4">
        <v>223</v>
      </c>
      <c r="F52" s="4">
        <f>ROUND(Source!AQ42,O52)</f>
        <v>0</v>
      </c>
      <c r="G52" s="4" t="s">
        <v>120</v>
      </c>
      <c r="H52" s="4" t="s">
        <v>121</v>
      </c>
      <c r="I52" s="4"/>
      <c r="J52" s="4"/>
      <c r="K52" s="4">
        <v>223</v>
      </c>
      <c r="L52" s="4">
        <v>9</v>
      </c>
      <c r="M52" s="4">
        <v>3</v>
      </c>
      <c r="N52" s="4" t="s">
        <v>3</v>
      </c>
      <c r="O52" s="4">
        <v>0</v>
      </c>
      <c r="P52" s="4"/>
      <c r="Q52" s="4"/>
      <c r="R52" s="4"/>
      <c r="S52" s="4"/>
      <c r="T52" s="4"/>
      <c r="U52" s="4"/>
      <c r="V52" s="4"/>
      <c r="W52" s="4"/>
    </row>
    <row r="53" spans="1:23">
      <c r="A53" s="4">
        <v>50</v>
      </c>
      <c r="B53" s="4">
        <v>0</v>
      </c>
      <c r="C53" s="4">
        <v>0</v>
      </c>
      <c r="D53" s="4">
        <v>1</v>
      </c>
      <c r="E53" s="4">
        <v>229</v>
      </c>
      <c r="F53" s="4">
        <f>ROUND(Source!AZ42,O53)</f>
        <v>0</v>
      </c>
      <c r="G53" s="4" t="s">
        <v>122</v>
      </c>
      <c r="H53" s="4" t="s">
        <v>123</v>
      </c>
      <c r="I53" s="4"/>
      <c r="J53" s="4"/>
      <c r="K53" s="4">
        <v>229</v>
      </c>
      <c r="L53" s="4">
        <v>10</v>
      </c>
      <c r="M53" s="4">
        <v>3</v>
      </c>
      <c r="N53" s="4" t="s">
        <v>3</v>
      </c>
      <c r="O53" s="4">
        <v>0</v>
      </c>
      <c r="P53" s="4"/>
      <c r="Q53" s="4"/>
      <c r="R53" s="4"/>
      <c r="S53" s="4"/>
      <c r="T53" s="4"/>
      <c r="U53" s="4"/>
      <c r="V53" s="4"/>
      <c r="W53" s="4"/>
    </row>
    <row r="54" spans="1:23">
      <c r="A54" s="4">
        <v>50</v>
      </c>
      <c r="B54" s="4">
        <v>0</v>
      </c>
      <c r="C54" s="4">
        <v>0</v>
      </c>
      <c r="D54" s="4">
        <v>1</v>
      </c>
      <c r="E54" s="4">
        <v>203</v>
      </c>
      <c r="F54" s="4">
        <f>ROUND(Source!Q42,O54)</f>
        <v>973</v>
      </c>
      <c r="G54" s="4" t="s">
        <v>124</v>
      </c>
      <c r="H54" s="4" t="s">
        <v>125</v>
      </c>
      <c r="I54" s="4"/>
      <c r="J54" s="4"/>
      <c r="K54" s="4">
        <v>203</v>
      </c>
      <c r="L54" s="4">
        <v>11</v>
      </c>
      <c r="M54" s="4">
        <v>3</v>
      </c>
      <c r="N54" s="4" t="s">
        <v>3</v>
      </c>
      <c r="O54" s="4">
        <v>0</v>
      </c>
      <c r="P54" s="4"/>
      <c r="Q54" s="4"/>
      <c r="R54" s="4"/>
      <c r="S54" s="4"/>
      <c r="T54" s="4"/>
      <c r="U54" s="4"/>
      <c r="V54" s="4"/>
      <c r="W54" s="4"/>
    </row>
    <row r="55" spans="1:23">
      <c r="A55" s="4">
        <v>50</v>
      </c>
      <c r="B55" s="4">
        <v>0</v>
      </c>
      <c r="C55" s="4">
        <v>0</v>
      </c>
      <c r="D55" s="4">
        <v>1</v>
      </c>
      <c r="E55" s="4">
        <v>231</v>
      </c>
      <c r="F55" s="4">
        <f>ROUND(Source!BB42,O55)</f>
        <v>0</v>
      </c>
      <c r="G55" s="4" t="s">
        <v>126</v>
      </c>
      <c r="H55" s="4" t="s">
        <v>127</v>
      </c>
      <c r="I55" s="4"/>
      <c r="J55" s="4"/>
      <c r="K55" s="4">
        <v>231</v>
      </c>
      <c r="L55" s="4">
        <v>12</v>
      </c>
      <c r="M55" s="4">
        <v>3</v>
      </c>
      <c r="N55" s="4" t="s">
        <v>3</v>
      </c>
      <c r="O55" s="4">
        <v>0</v>
      </c>
      <c r="P55" s="4"/>
      <c r="Q55" s="4"/>
      <c r="R55" s="4"/>
      <c r="S55" s="4"/>
      <c r="T55" s="4"/>
      <c r="U55" s="4"/>
      <c r="V55" s="4"/>
      <c r="W55" s="4"/>
    </row>
    <row r="56" spans="1:23">
      <c r="A56" s="4">
        <v>50</v>
      </c>
      <c r="B56" s="4">
        <v>0</v>
      </c>
      <c r="C56" s="4">
        <v>0</v>
      </c>
      <c r="D56" s="4">
        <v>1</v>
      </c>
      <c r="E56" s="4">
        <v>204</v>
      </c>
      <c r="F56" s="4">
        <f>ROUND(Source!R42,O56)</f>
        <v>354</v>
      </c>
      <c r="G56" s="4" t="s">
        <v>128</v>
      </c>
      <c r="H56" s="4" t="s">
        <v>129</v>
      </c>
      <c r="I56" s="4"/>
      <c r="J56" s="4"/>
      <c r="K56" s="4">
        <v>204</v>
      </c>
      <c r="L56" s="4">
        <v>13</v>
      </c>
      <c r="M56" s="4">
        <v>3</v>
      </c>
      <c r="N56" s="4" t="s">
        <v>3</v>
      </c>
      <c r="O56" s="4">
        <v>0</v>
      </c>
      <c r="P56" s="4"/>
      <c r="Q56" s="4"/>
      <c r="R56" s="4"/>
      <c r="S56" s="4"/>
      <c r="T56" s="4"/>
      <c r="U56" s="4"/>
      <c r="V56" s="4"/>
      <c r="W56" s="4"/>
    </row>
    <row r="57" spans="1:23">
      <c r="A57" s="4">
        <v>50</v>
      </c>
      <c r="B57" s="4">
        <v>0</v>
      </c>
      <c r="C57" s="4">
        <v>0</v>
      </c>
      <c r="D57" s="4">
        <v>1</v>
      </c>
      <c r="E57" s="4">
        <v>205</v>
      </c>
      <c r="F57" s="4">
        <f>ROUND(Source!S42,O57)</f>
        <v>6032</v>
      </c>
      <c r="G57" s="4" t="s">
        <v>130</v>
      </c>
      <c r="H57" s="4" t="s">
        <v>131</v>
      </c>
      <c r="I57" s="4"/>
      <c r="J57" s="4"/>
      <c r="K57" s="4">
        <v>205</v>
      </c>
      <c r="L57" s="4">
        <v>14</v>
      </c>
      <c r="M57" s="4">
        <v>3</v>
      </c>
      <c r="N57" s="4" t="s">
        <v>3</v>
      </c>
      <c r="O57" s="4">
        <v>0</v>
      </c>
      <c r="P57" s="4"/>
      <c r="Q57" s="4"/>
      <c r="R57" s="4"/>
      <c r="S57" s="4"/>
      <c r="T57" s="4"/>
      <c r="U57" s="4"/>
      <c r="V57" s="4"/>
      <c r="W57" s="4"/>
    </row>
    <row r="58" spans="1:23">
      <c r="A58" s="4">
        <v>50</v>
      </c>
      <c r="B58" s="4">
        <v>0</v>
      </c>
      <c r="C58" s="4">
        <v>0</v>
      </c>
      <c r="D58" s="4">
        <v>1</v>
      </c>
      <c r="E58" s="4">
        <v>232</v>
      </c>
      <c r="F58" s="4">
        <f>ROUND(Source!BC42,O58)</f>
        <v>0</v>
      </c>
      <c r="G58" s="4" t="s">
        <v>132</v>
      </c>
      <c r="H58" s="4" t="s">
        <v>133</v>
      </c>
      <c r="I58" s="4"/>
      <c r="J58" s="4"/>
      <c r="K58" s="4">
        <v>232</v>
      </c>
      <c r="L58" s="4">
        <v>15</v>
      </c>
      <c r="M58" s="4">
        <v>3</v>
      </c>
      <c r="N58" s="4" t="s">
        <v>3</v>
      </c>
      <c r="O58" s="4">
        <v>0</v>
      </c>
      <c r="P58" s="4"/>
      <c r="Q58" s="4"/>
      <c r="R58" s="4"/>
      <c r="S58" s="4"/>
      <c r="T58" s="4"/>
      <c r="U58" s="4"/>
      <c r="V58" s="4"/>
      <c r="W58" s="4"/>
    </row>
    <row r="59" spans="1:23">
      <c r="A59" s="4">
        <v>50</v>
      </c>
      <c r="B59" s="4">
        <v>0</v>
      </c>
      <c r="C59" s="4">
        <v>0</v>
      </c>
      <c r="D59" s="4">
        <v>1</v>
      </c>
      <c r="E59" s="4">
        <v>214</v>
      </c>
      <c r="F59" s="4">
        <f>ROUND(Source!AS42,O59)</f>
        <v>16800</v>
      </c>
      <c r="G59" s="4" t="s">
        <v>134</v>
      </c>
      <c r="H59" s="4" t="s">
        <v>135</v>
      </c>
      <c r="I59" s="4"/>
      <c r="J59" s="4"/>
      <c r="K59" s="4">
        <v>214</v>
      </c>
      <c r="L59" s="4">
        <v>16</v>
      </c>
      <c r="M59" s="4">
        <v>3</v>
      </c>
      <c r="N59" s="4" t="s">
        <v>3</v>
      </c>
      <c r="O59" s="4">
        <v>0</v>
      </c>
      <c r="P59" s="4"/>
      <c r="Q59" s="4"/>
      <c r="R59" s="4"/>
      <c r="S59" s="4"/>
      <c r="T59" s="4"/>
      <c r="U59" s="4"/>
      <c r="V59" s="4"/>
      <c r="W59" s="4"/>
    </row>
    <row r="60" spans="1:23">
      <c r="A60" s="4">
        <v>50</v>
      </c>
      <c r="B60" s="4">
        <v>0</v>
      </c>
      <c r="C60" s="4">
        <v>0</v>
      </c>
      <c r="D60" s="4">
        <v>1</v>
      </c>
      <c r="E60" s="4">
        <v>215</v>
      </c>
      <c r="F60" s="4">
        <f>ROUND(Source!AT42,O60)</f>
        <v>0</v>
      </c>
      <c r="G60" s="4" t="s">
        <v>136</v>
      </c>
      <c r="H60" s="4" t="s">
        <v>137</v>
      </c>
      <c r="I60" s="4"/>
      <c r="J60" s="4"/>
      <c r="K60" s="4">
        <v>215</v>
      </c>
      <c r="L60" s="4">
        <v>17</v>
      </c>
      <c r="M60" s="4">
        <v>3</v>
      </c>
      <c r="N60" s="4" t="s">
        <v>3</v>
      </c>
      <c r="O60" s="4">
        <v>0</v>
      </c>
      <c r="P60" s="4"/>
      <c r="Q60" s="4"/>
      <c r="R60" s="4"/>
      <c r="S60" s="4"/>
      <c r="T60" s="4"/>
      <c r="U60" s="4"/>
      <c r="V60" s="4"/>
      <c r="W60" s="4"/>
    </row>
    <row r="61" spans="1:23">
      <c r="A61" s="4">
        <v>50</v>
      </c>
      <c r="B61" s="4">
        <v>0</v>
      </c>
      <c r="C61" s="4">
        <v>0</v>
      </c>
      <c r="D61" s="4">
        <v>1</v>
      </c>
      <c r="E61" s="4">
        <v>217</v>
      </c>
      <c r="F61" s="4">
        <f>ROUND(Source!AU42,O61)</f>
        <v>0</v>
      </c>
      <c r="G61" s="4" t="s">
        <v>138</v>
      </c>
      <c r="H61" s="4" t="s">
        <v>139</v>
      </c>
      <c r="I61" s="4"/>
      <c r="J61" s="4"/>
      <c r="K61" s="4">
        <v>217</v>
      </c>
      <c r="L61" s="4">
        <v>18</v>
      </c>
      <c r="M61" s="4">
        <v>3</v>
      </c>
      <c r="N61" s="4" t="s">
        <v>3</v>
      </c>
      <c r="O61" s="4">
        <v>0</v>
      </c>
      <c r="P61" s="4"/>
      <c r="Q61" s="4"/>
      <c r="R61" s="4"/>
      <c r="S61" s="4"/>
      <c r="T61" s="4"/>
      <c r="U61" s="4"/>
      <c r="V61" s="4"/>
      <c r="W61" s="4"/>
    </row>
    <row r="62" spans="1:23">
      <c r="A62" s="4">
        <v>50</v>
      </c>
      <c r="B62" s="4">
        <v>0</v>
      </c>
      <c r="C62" s="4">
        <v>0</v>
      </c>
      <c r="D62" s="4">
        <v>1</v>
      </c>
      <c r="E62" s="4">
        <v>230</v>
      </c>
      <c r="F62" s="4">
        <f>ROUND(Source!BA42,O62)</f>
        <v>0</v>
      </c>
      <c r="G62" s="4" t="s">
        <v>140</v>
      </c>
      <c r="H62" s="4" t="s">
        <v>141</v>
      </c>
      <c r="I62" s="4"/>
      <c r="J62" s="4"/>
      <c r="K62" s="4">
        <v>230</v>
      </c>
      <c r="L62" s="4">
        <v>19</v>
      </c>
      <c r="M62" s="4">
        <v>3</v>
      </c>
      <c r="N62" s="4" t="s">
        <v>3</v>
      </c>
      <c r="O62" s="4">
        <v>0</v>
      </c>
      <c r="P62" s="4"/>
      <c r="Q62" s="4"/>
      <c r="R62" s="4"/>
      <c r="S62" s="4"/>
      <c r="T62" s="4"/>
      <c r="U62" s="4"/>
      <c r="V62" s="4"/>
      <c r="W62" s="4"/>
    </row>
    <row r="63" spans="1:23">
      <c r="A63" s="4">
        <v>50</v>
      </c>
      <c r="B63" s="4">
        <v>0</v>
      </c>
      <c r="C63" s="4">
        <v>0</v>
      </c>
      <c r="D63" s="4">
        <v>1</v>
      </c>
      <c r="E63" s="4">
        <v>206</v>
      </c>
      <c r="F63" s="4">
        <f>ROUND(Source!T42,O63)</f>
        <v>0</v>
      </c>
      <c r="G63" s="4" t="s">
        <v>142</v>
      </c>
      <c r="H63" s="4" t="s">
        <v>143</v>
      </c>
      <c r="I63" s="4"/>
      <c r="J63" s="4"/>
      <c r="K63" s="4">
        <v>206</v>
      </c>
      <c r="L63" s="4">
        <v>20</v>
      </c>
      <c r="M63" s="4">
        <v>3</v>
      </c>
      <c r="N63" s="4" t="s">
        <v>3</v>
      </c>
      <c r="O63" s="4">
        <v>0</v>
      </c>
      <c r="P63" s="4"/>
      <c r="Q63" s="4"/>
      <c r="R63" s="4"/>
      <c r="S63" s="4"/>
      <c r="T63" s="4"/>
      <c r="U63" s="4"/>
      <c r="V63" s="4"/>
      <c r="W63" s="4"/>
    </row>
    <row r="64" spans="1:23">
      <c r="A64" s="4">
        <v>50</v>
      </c>
      <c r="B64" s="4">
        <v>0</v>
      </c>
      <c r="C64" s="4">
        <v>0</v>
      </c>
      <c r="D64" s="4">
        <v>1</v>
      </c>
      <c r="E64" s="4">
        <v>207</v>
      </c>
      <c r="F64" s="4">
        <f>Source!U42</f>
        <v>36.502629500000005</v>
      </c>
      <c r="G64" s="4" t="s">
        <v>144</v>
      </c>
      <c r="H64" s="4" t="s">
        <v>145</v>
      </c>
      <c r="I64" s="4"/>
      <c r="J64" s="4"/>
      <c r="K64" s="4">
        <v>207</v>
      </c>
      <c r="L64" s="4">
        <v>21</v>
      </c>
      <c r="M64" s="4">
        <v>3</v>
      </c>
      <c r="N64" s="4" t="s">
        <v>3</v>
      </c>
      <c r="O64" s="4">
        <v>-1</v>
      </c>
      <c r="P64" s="4"/>
      <c r="Q64" s="4"/>
      <c r="R64" s="4"/>
      <c r="S64" s="4"/>
      <c r="T64" s="4"/>
      <c r="U64" s="4"/>
      <c r="V64" s="4"/>
      <c r="W64" s="4"/>
    </row>
    <row r="65" spans="1:245">
      <c r="A65" s="4">
        <v>50</v>
      </c>
      <c r="B65" s="4">
        <v>0</v>
      </c>
      <c r="C65" s="4">
        <v>0</v>
      </c>
      <c r="D65" s="4">
        <v>1</v>
      </c>
      <c r="E65" s="4">
        <v>208</v>
      </c>
      <c r="F65" s="4">
        <f>Source!V42</f>
        <v>1.7183695000000001</v>
      </c>
      <c r="G65" s="4" t="s">
        <v>146</v>
      </c>
      <c r="H65" s="4" t="s">
        <v>147</v>
      </c>
      <c r="I65" s="4"/>
      <c r="J65" s="4"/>
      <c r="K65" s="4">
        <v>208</v>
      </c>
      <c r="L65" s="4">
        <v>22</v>
      </c>
      <c r="M65" s="4">
        <v>3</v>
      </c>
      <c r="N65" s="4" t="s">
        <v>3</v>
      </c>
      <c r="O65" s="4">
        <v>-1</v>
      </c>
      <c r="P65" s="4"/>
      <c r="Q65" s="4"/>
      <c r="R65" s="4"/>
      <c r="S65" s="4"/>
      <c r="T65" s="4"/>
      <c r="U65" s="4"/>
      <c r="V65" s="4"/>
      <c r="W65" s="4"/>
    </row>
    <row r="66" spans="1:245">
      <c r="A66" s="4">
        <v>50</v>
      </c>
      <c r="B66" s="4">
        <v>0</v>
      </c>
      <c r="C66" s="4">
        <v>0</v>
      </c>
      <c r="D66" s="4">
        <v>1</v>
      </c>
      <c r="E66" s="4">
        <v>209</v>
      </c>
      <c r="F66" s="4">
        <f>ROUND(Source!W42,O66)</f>
        <v>0</v>
      </c>
      <c r="G66" s="4" t="s">
        <v>148</v>
      </c>
      <c r="H66" s="4" t="s">
        <v>149</v>
      </c>
      <c r="I66" s="4"/>
      <c r="J66" s="4"/>
      <c r="K66" s="4">
        <v>209</v>
      </c>
      <c r="L66" s="4">
        <v>23</v>
      </c>
      <c r="M66" s="4">
        <v>3</v>
      </c>
      <c r="N66" s="4" t="s">
        <v>3</v>
      </c>
      <c r="O66" s="4">
        <v>0</v>
      </c>
      <c r="P66" s="4"/>
      <c r="Q66" s="4"/>
      <c r="R66" s="4"/>
      <c r="S66" s="4"/>
      <c r="T66" s="4"/>
      <c r="U66" s="4"/>
      <c r="V66" s="4"/>
      <c r="W66" s="4"/>
    </row>
    <row r="67" spans="1:245">
      <c r="A67" s="4">
        <v>50</v>
      </c>
      <c r="B67" s="4">
        <v>0</v>
      </c>
      <c r="C67" s="4">
        <v>0</v>
      </c>
      <c r="D67" s="4">
        <v>1</v>
      </c>
      <c r="E67" s="4">
        <v>210</v>
      </c>
      <c r="F67" s="4">
        <f>ROUND(Source!X42,O67)</f>
        <v>4097</v>
      </c>
      <c r="G67" s="4" t="s">
        <v>150</v>
      </c>
      <c r="H67" s="4" t="s">
        <v>151</v>
      </c>
      <c r="I67" s="4"/>
      <c r="J67" s="4"/>
      <c r="K67" s="4">
        <v>210</v>
      </c>
      <c r="L67" s="4">
        <v>24</v>
      </c>
      <c r="M67" s="4">
        <v>3</v>
      </c>
      <c r="N67" s="4" t="s">
        <v>3</v>
      </c>
      <c r="O67" s="4">
        <v>0</v>
      </c>
      <c r="P67" s="4"/>
      <c r="Q67" s="4"/>
      <c r="R67" s="4"/>
      <c r="S67" s="4"/>
      <c r="T67" s="4"/>
      <c r="U67" s="4"/>
      <c r="V67" s="4"/>
      <c r="W67" s="4"/>
    </row>
    <row r="68" spans="1:245">
      <c r="A68" s="4">
        <v>50</v>
      </c>
      <c r="B68" s="4">
        <v>0</v>
      </c>
      <c r="C68" s="4">
        <v>0</v>
      </c>
      <c r="D68" s="4">
        <v>1</v>
      </c>
      <c r="E68" s="4">
        <v>211</v>
      </c>
      <c r="F68" s="4">
        <f>ROUND(Source!Y42,O68)</f>
        <v>3382</v>
      </c>
      <c r="G68" s="4" t="s">
        <v>152</v>
      </c>
      <c r="H68" s="4" t="s">
        <v>153</v>
      </c>
      <c r="I68" s="4"/>
      <c r="J68" s="4"/>
      <c r="K68" s="4">
        <v>211</v>
      </c>
      <c r="L68" s="4">
        <v>25</v>
      </c>
      <c r="M68" s="4">
        <v>3</v>
      </c>
      <c r="N68" s="4" t="s">
        <v>3</v>
      </c>
      <c r="O68" s="4">
        <v>0</v>
      </c>
      <c r="P68" s="4"/>
      <c r="Q68" s="4"/>
      <c r="R68" s="4"/>
      <c r="S68" s="4"/>
      <c r="T68" s="4"/>
      <c r="U68" s="4"/>
      <c r="V68" s="4"/>
      <c r="W68" s="4"/>
    </row>
    <row r="69" spans="1:245">
      <c r="A69" s="4">
        <v>50</v>
      </c>
      <c r="B69" s="4">
        <v>0</v>
      </c>
      <c r="C69" s="4">
        <v>0</v>
      </c>
      <c r="D69" s="4">
        <v>1</v>
      </c>
      <c r="E69" s="4">
        <v>224</v>
      </c>
      <c r="F69" s="4">
        <f>ROUND(Source!AR42,O69)</f>
        <v>16800</v>
      </c>
      <c r="G69" s="4" t="s">
        <v>154</v>
      </c>
      <c r="H69" s="4" t="s">
        <v>155</v>
      </c>
      <c r="I69" s="4"/>
      <c r="J69" s="4"/>
      <c r="K69" s="4">
        <v>224</v>
      </c>
      <c r="L69" s="4">
        <v>26</v>
      </c>
      <c r="M69" s="4">
        <v>3</v>
      </c>
      <c r="N69" s="4" t="s">
        <v>3</v>
      </c>
      <c r="O69" s="4">
        <v>0</v>
      </c>
      <c r="P69" s="4"/>
      <c r="Q69" s="4"/>
      <c r="R69" s="4"/>
      <c r="S69" s="4"/>
      <c r="T69" s="4"/>
      <c r="U69" s="4"/>
      <c r="V69" s="4"/>
      <c r="W69" s="4"/>
    </row>
    <row r="70" spans="1:245">
      <c r="A70" s="4">
        <v>50</v>
      </c>
      <c r="B70" s="4">
        <v>1</v>
      </c>
      <c r="C70" s="4">
        <v>0</v>
      </c>
      <c r="D70" s="4">
        <v>2</v>
      </c>
      <c r="E70" s="4">
        <v>213</v>
      </c>
      <c r="F70" s="4">
        <f>ROUND(F69,O70)</f>
        <v>16800</v>
      </c>
      <c r="G70" s="4" t="s">
        <v>156</v>
      </c>
      <c r="H70" s="4" t="s">
        <v>156</v>
      </c>
      <c r="I70" s="4"/>
      <c r="J70" s="4"/>
      <c r="K70" s="4">
        <v>212</v>
      </c>
      <c r="L70" s="4">
        <v>27</v>
      </c>
      <c r="M70" s="4">
        <v>0</v>
      </c>
      <c r="N70" s="4" t="s">
        <v>3</v>
      </c>
      <c r="O70" s="4">
        <v>0</v>
      </c>
      <c r="P70" s="4"/>
      <c r="Q70" s="4"/>
      <c r="R70" s="4"/>
      <c r="S70" s="4"/>
      <c r="T70" s="4"/>
      <c r="U70" s="4"/>
      <c r="V70" s="4"/>
      <c r="W70" s="4"/>
    </row>
    <row r="72" spans="1:245">
      <c r="A72" s="1">
        <v>4</v>
      </c>
      <c r="B72" s="1">
        <v>1</v>
      </c>
      <c r="C72" s="1"/>
      <c r="D72" s="1">
        <f>ROW(A106)</f>
        <v>106</v>
      </c>
      <c r="E72" s="1"/>
      <c r="F72" s="1" t="s">
        <v>24</v>
      </c>
      <c r="G72" s="1" t="s">
        <v>157</v>
      </c>
      <c r="H72" s="1" t="s">
        <v>3</v>
      </c>
      <c r="I72" s="1">
        <v>0</v>
      </c>
      <c r="J72" s="1"/>
      <c r="K72" s="1">
        <v>-1</v>
      </c>
      <c r="L72" s="1"/>
      <c r="M72" s="1"/>
      <c r="N72" s="1"/>
      <c r="O72" s="1"/>
      <c r="P72" s="1"/>
      <c r="Q72" s="1"/>
      <c r="R72" s="1"/>
      <c r="S72" s="1"/>
      <c r="T72" s="1"/>
      <c r="U72" s="1" t="s">
        <v>3</v>
      </c>
      <c r="V72" s="1">
        <v>0</v>
      </c>
      <c r="W72" s="1"/>
      <c r="X72" s="1"/>
      <c r="Y72" s="1"/>
      <c r="Z72" s="1"/>
      <c r="AA72" s="1"/>
      <c r="AB72" s="1" t="s">
        <v>3</v>
      </c>
      <c r="AC72" s="1" t="s">
        <v>3</v>
      </c>
      <c r="AD72" s="1" t="s">
        <v>3</v>
      </c>
      <c r="AE72" s="1" t="s">
        <v>3</v>
      </c>
      <c r="AF72" s="1" t="s">
        <v>3</v>
      </c>
      <c r="AG72" s="1" t="s">
        <v>3</v>
      </c>
      <c r="AH72" s="1"/>
      <c r="AI72" s="1"/>
      <c r="AJ72" s="1"/>
      <c r="AK72" s="1"/>
      <c r="AL72" s="1"/>
      <c r="AM72" s="1"/>
      <c r="AN72" s="1"/>
      <c r="AO72" s="1"/>
      <c r="AP72" s="1" t="s">
        <v>3</v>
      </c>
      <c r="AQ72" s="1" t="s">
        <v>3</v>
      </c>
      <c r="AR72" s="1" t="s">
        <v>3</v>
      </c>
      <c r="AS72" s="1"/>
      <c r="AT72" s="1"/>
      <c r="AU72" s="1"/>
      <c r="AV72" s="1"/>
      <c r="AW72" s="1"/>
      <c r="AX72" s="1"/>
      <c r="AY72" s="1"/>
      <c r="AZ72" s="1" t="s">
        <v>3</v>
      </c>
      <c r="BA72" s="1"/>
      <c r="BB72" s="1" t="s">
        <v>3</v>
      </c>
      <c r="BC72" s="1" t="s">
        <v>3</v>
      </c>
      <c r="BD72" s="1" t="s">
        <v>3</v>
      </c>
      <c r="BE72" s="1" t="s">
        <v>3</v>
      </c>
      <c r="BF72" s="1" t="s">
        <v>3</v>
      </c>
      <c r="BG72" s="1" t="s">
        <v>3</v>
      </c>
      <c r="BH72" s="1" t="s">
        <v>3</v>
      </c>
      <c r="BI72" s="1" t="s">
        <v>3</v>
      </c>
      <c r="BJ72" s="1" t="s">
        <v>3</v>
      </c>
      <c r="BK72" s="1" t="s">
        <v>3</v>
      </c>
      <c r="BL72" s="1" t="s">
        <v>3</v>
      </c>
      <c r="BM72" s="1" t="s">
        <v>3</v>
      </c>
      <c r="BN72" s="1" t="s">
        <v>3</v>
      </c>
      <c r="BO72" s="1" t="s">
        <v>3</v>
      </c>
      <c r="BP72" s="1" t="s">
        <v>3</v>
      </c>
      <c r="BQ72" s="1"/>
      <c r="BR72" s="1"/>
      <c r="BS72" s="1"/>
      <c r="BT72" s="1"/>
      <c r="BU72" s="1"/>
      <c r="BV72" s="1"/>
      <c r="BW72" s="1"/>
      <c r="BX72" s="1"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>
        <v>0</v>
      </c>
    </row>
    <row r="74" spans="1:245">
      <c r="A74" s="2">
        <v>52</v>
      </c>
      <c r="B74" s="2">
        <f t="shared" ref="B74:G74" si="62">B106</f>
        <v>1</v>
      </c>
      <c r="C74" s="2">
        <f t="shared" si="62"/>
        <v>4</v>
      </c>
      <c r="D74" s="2">
        <f t="shared" si="62"/>
        <v>72</v>
      </c>
      <c r="E74" s="2">
        <f t="shared" si="62"/>
        <v>0</v>
      </c>
      <c r="F74" s="2" t="str">
        <f t="shared" si="62"/>
        <v>2</v>
      </c>
      <c r="G74" s="2" t="str">
        <f t="shared" si="62"/>
        <v>Отделочные работы</v>
      </c>
      <c r="H74" s="2"/>
      <c r="I74" s="2"/>
      <c r="J74" s="2"/>
      <c r="K74" s="2"/>
      <c r="L74" s="2"/>
      <c r="M74" s="2"/>
      <c r="N74" s="2"/>
      <c r="O74" s="2">
        <f t="shared" ref="O74:AT74" si="63">O106</f>
        <v>77111</v>
      </c>
      <c r="P74" s="2">
        <f t="shared" si="63"/>
        <v>56710</v>
      </c>
      <c r="Q74" s="2">
        <f t="shared" si="63"/>
        <v>1378</v>
      </c>
      <c r="R74" s="2">
        <f t="shared" si="63"/>
        <v>600</v>
      </c>
      <c r="S74" s="2">
        <f t="shared" si="63"/>
        <v>19023</v>
      </c>
      <c r="T74" s="2">
        <f t="shared" si="63"/>
        <v>0</v>
      </c>
      <c r="U74" s="2">
        <f t="shared" si="63"/>
        <v>105.3660328</v>
      </c>
      <c r="V74" s="2">
        <f t="shared" si="63"/>
        <v>2.9800850000000003</v>
      </c>
      <c r="W74" s="2">
        <f t="shared" si="63"/>
        <v>0</v>
      </c>
      <c r="X74" s="2">
        <f t="shared" si="63"/>
        <v>13838</v>
      </c>
      <c r="Y74" s="2">
        <f t="shared" si="63"/>
        <v>9571</v>
      </c>
      <c r="Z74" s="2">
        <f t="shared" si="63"/>
        <v>0</v>
      </c>
      <c r="AA74" s="2">
        <f t="shared" si="63"/>
        <v>0</v>
      </c>
      <c r="AB74" s="2">
        <f t="shared" si="63"/>
        <v>77111</v>
      </c>
      <c r="AC74" s="2">
        <f t="shared" si="63"/>
        <v>56710</v>
      </c>
      <c r="AD74" s="2">
        <f t="shared" si="63"/>
        <v>1378</v>
      </c>
      <c r="AE74" s="2">
        <f t="shared" si="63"/>
        <v>600</v>
      </c>
      <c r="AF74" s="2">
        <f t="shared" si="63"/>
        <v>19023</v>
      </c>
      <c r="AG74" s="2">
        <f t="shared" si="63"/>
        <v>0</v>
      </c>
      <c r="AH74" s="2">
        <f t="shared" si="63"/>
        <v>105.3660328</v>
      </c>
      <c r="AI74" s="2">
        <f t="shared" si="63"/>
        <v>2.9800850000000003</v>
      </c>
      <c r="AJ74" s="2">
        <f t="shared" si="63"/>
        <v>0</v>
      </c>
      <c r="AK74" s="2">
        <f t="shared" si="63"/>
        <v>13838</v>
      </c>
      <c r="AL74" s="2">
        <f t="shared" si="63"/>
        <v>9571</v>
      </c>
      <c r="AM74" s="2">
        <f t="shared" si="63"/>
        <v>0</v>
      </c>
      <c r="AN74" s="2">
        <f t="shared" si="63"/>
        <v>0</v>
      </c>
      <c r="AO74" s="2">
        <f t="shared" si="63"/>
        <v>0</v>
      </c>
      <c r="AP74" s="2">
        <f t="shared" si="63"/>
        <v>0</v>
      </c>
      <c r="AQ74" s="2">
        <f t="shared" si="63"/>
        <v>0</v>
      </c>
      <c r="AR74" s="2">
        <f t="shared" si="63"/>
        <v>100520</v>
      </c>
      <c r="AS74" s="2">
        <f t="shared" si="63"/>
        <v>98370</v>
      </c>
      <c r="AT74" s="2">
        <f t="shared" si="63"/>
        <v>2150</v>
      </c>
      <c r="AU74" s="2">
        <f t="shared" ref="AU74:BZ74" si="64">AU106</f>
        <v>0</v>
      </c>
      <c r="AV74" s="2">
        <f t="shared" si="64"/>
        <v>56710</v>
      </c>
      <c r="AW74" s="2">
        <f t="shared" si="64"/>
        <v>56710</v>
      </c>
      <c r="AX74" s="2">
        <f t="shared" si="64"/>
        <v>0</v>
      </c>
      <c r="AY74" s="2">
        <f t="shared" si="64"/>
        <v>56710</v>
      </c>
      <c r="AZ74" s="2">
        <f t="shared" si="64"/>
        <v>0</v>
      </c>
      <c r="BA74" s="2">
        <f t="shared" si="64"/>
        <v>0</v>
      </c>
      <c r="BB74" s="2">
        <f t="shared" si="64"/>
        <v>0</v>
      </c>
      <c r="BC74" s="2">
        <f t="shared" si="64"/>
        <v>0</v>
      </c>
      <c r="BD74" s="2">
        <f t="shared" si="64"/>
        <v>0</v>
      </c>
      <c r="BE74" s="2">
        <f t="shared" si="64"/>
        <v>0</v>
      </c>
      <c r="BF74" s="2">
        <f t="shared" si="64"/>
        <v>0</v>
      </c>
      <c r="BG74" s="2">
        <f t="shared" si="64"/>
        <v>0</v>
      </c>
      <c r="BH74" s="2">
        <f t="shared" si="64"/>
        <v>0</v>
      </c>
      <c r="BI74" s="2">
        <f t="shared" si="64"/>
        <v>0</v>
      </c>
      <c r="BJ74" s="2">
        <f t="shared" si="64"/>
        <v>0</v>
      </c>
      <c r="BK74" s="2">
        <f t="shared" si="64"/>
        <v>0</v>
      </c>
      <c r="BL74" s="2">
        <f t="shared" si="64"/>
        <v>0</v>
      </c>
      <c r="BM74" s="2">
        <f t="shared" si="64"/>
        <v>0</v>
      </c>
      <c r="BN74" s="2">
        <f t="shared" si="64"/>
        <v>0</v>
      </c>
      <c r="BO74" s="2">
        <f t="shared" si="64"/>
        <v>0</v>
      </c>
      <c r="BP74" s="2">
        <f t="shared" si="64"/>
        <v>0</v>
      </c>
      <c r="BQ74" s="2">
        <f t="shared" si="64"/>
        <v>0</v>
      </c>
      <c r="BR74" s="2">
        <f t="shared" si="64"/>
        <v>0</v>
      </c>
      <c r="BS74" s="2">
        <f t="shared" si="64"/>
        <v>0</v>
      </c>
      <c r="BT74" s="2">
        <f t="shared" si="64"/>
        <v>0</v>
      </c>
      <c r="BU74" s="2">
        <f t="shared" si="64"/>
        <v>0</v>
      </c>
      <c r="BV74" s="2">
        <f t="shared" si="64"/>
        <v>0</v>
      </c>
      <c r="BW74" s="2">
        <f t="shared" si="64"/>
        <v>0</v>
      </c>
      <c r="BX74" s="2">
        <f t="shared" si="64"/>
        <v>0</v>
      </c>
      <c r="BY74" s="2">
        <f t="shared" si="64"/>
        <v>0</v>
      </c>
      <c r="BZ74" s="2">
        <f t="shared" si="64"/>
        <v>0</v>
      </c>
      <c r="CA74" s="2">
        <f t="shared" ref="CA74:DF74" si="65">CA106</f>
        <v>100520</v>
      </c>
      <c r="CB74" s="2">
        <f t="shared" si="65"/>
        <v>98370</v>
      </c>
      <c r="CC74" s="2">
        <f t="shared" si="65"/>
        <v>2150</v>
      </c>
      <c r="CD74" s="2">
        <f t="shared" si="65"/>
        <v>0</v>
      </c>
      <c r="CE74" s="2">
        <f t="shared" si="65"/>
        <v>56710</v>
      </c>
      <c r="CF74" s="2">
        <f t="shared" si="65"/>
        <v>56710</v>
      </c>
      <c r="CG74" s="2">
        <f t="shared" si="65"/>
        <v>0</v>
      </c>
      <c r="CH74" s="2">
        <f t="shared" si="65"/>
        <v>56710</v>
      </c>
      <c r="CI74" s="2">
        <f t="shared" si="65"/>
        <v>0</v>
      </c>
      <c r="CJ74" s="2">
        <f t="shared" si="65"/>
        <v>0</v>
      </c>
      <c r="CK74" s="2">
        <f t="shared" si="65"/>
        <v>0</v>
      </c>
      <c r="CL74" s="2">
        <f t="shared" si="65"/>
        <v>0</v>
      </c>
      <c r="CM74" s="2">
        <f t="shared" si="65"/>
        <v>0</v>
      </c>
      <c r="CN74" s="2">
        <f t="shared" si="65"/>
        <v>0</v>
      </c>
      <c r="CO74" s="2">
        <f t="shared" si="65"/>
        <v>0</v>
      </c>
      <c r="CP74" s="2">
        <f t="shared" si="65"/>
        <v>0</v>
      </c>
      <c r="CQ74" s="2">
        <f t="shared" si="65"/>
        <v>0</v>
      </c>
      <c r="CR74" s="2">
        <f t="shared" si="65"/>
        <v>0</v>
      </c>
      <c r="CS74" s="2">
        <f t="shared" si="65"/>
        <v>0</v>
      </c>
      <c r="CT74" s="2">
        <f t="shared" si="65"/>
        <v>0</v>
      </c>
      <c r="CU74" s="2">
        <f t="shared" si="65"/>
        <v>0</v>
      </c>
      <c r="CV74" s="2">
        <f t="shared" si="65"/>
        <v>0</v>
      </c>
      <c r="CW74" s="2">
        <f t="shared" si="65"/>
        <v>0</v>
      </c>
      <c r="CX74" s="2">
        <f t="shared" si="65"/>
        <v>0</v>
      </c>
      <c r="CY74" s="2">
        <f t="shared" si="65"/>
        <v>0</v>
      </c>
      <c r="CZ74" s="2">
        <f t="shared" si="65"/>
        <v>0</v>
      </c>
      <c r="DA74" s="2">
        <f t="shared" si="65"/>
        <v>0</v>
      </c>
      <c r="DB74" s="2">
        <f t="shared" si="65"/>
        <v>0</v>
      </c>
      <c r="DC74" s="2">
        <f t="shared" si="65"/>
        <v>0</v>
      </c>
      <c r="DD74" s="2">
        <f t="shared" si="65"/>
        <v>0</v>
      </c>
      <c r="DE74" s="2">
        <f t="shared" si="65"/>
        <v>0</v>
      </c>
      <c r="DF74" s="2">
        <f t="shared" si="65"/>
        <v>0</v>
      </c>
      <c r="DG74" s="3">
        <f t="shared" ref="DG74:EL74" si="66">DG106</f>
        <v>0</v>
      </c>
      <c r="DH74" s="3">
        <f t="shared" si="66"/>
        <v>0</v>
      </c>
      <c r="DI74" s="3">
        <f t="shared" si="66"/>
        <v>0</v>
      </c>
      <c r="DJ74" s="3">
        <f t="shared" si="66"/>
        <v>0</v>
      </c>
      <c r="DK74" s="3">
        <f t="shared" si="66"/>
        <v>0</v>
      </c>
      <c r="DL74" s="3">
        <f t="shared" si="66"/>
        <v>0</v>
      </c>
      <c r="DM74" s="3">
        <f t="shared" si="66"/>
        <v>0</v>
      </c>
      <c r="DN74" s="3">
        <f t="shared" si="66"/>
        <v>0</v>
      </c>
      <c r="DO74" s="3">
        <f t="shared" si="66"/>
        <v>0</v>
      </c>
      <c r="DP74" s="3">
        <f t="shared" si="66"/>
        <v>0</v>
      </c>
      <c r="DQ74" s="3">
        <f t="shared" si="66"/>
        <v>0</v>
      </c>
      <c r="DR74" s="3">
        <f t="shared" si="66"/>
        <v>0</v>
      </c>
      <c r="DS74" s="3">
        <f t="shared" si="66"/>
        <v>0</v>
      </c>
      <c r="DT74" s="3">
        <f t="shared" si="66"/>
        <v>0</v>
      </c>
      <c r="DU74" s="3">
        <f t="shared" si="66"/>
        <v>0</v>
      </c>
      <c r="DV74" s="3">
        <f t="shared" si="66"/>
        <v>0</v>
      </c>
      <c r="DW74" s="3">
        <f t="shared" si="66"/>
        <v>0</v>
      </c>
      <c r="DX74" s="3">
        <f t="shared" si="66"/>
        <v>0</v>
      </c>
      <c r="DY74" s="3">
        <f t="shared" si="66"/>
        <v>0</v>
      </c>
      <c r="DZ74" s="3">
        <f t="shared" si="66"/>
        <v>0</v>
      </c>
      <c r="EA74" s="3">
        <f t="shared" si="66"/>
        <v>0</v>
      </c>
      <c r="EB74" s="3">
        <f t="shared" si="66"/>
        <v>0</v>
      </c>
      <c r="EC74" s="3">
        <f t="shared" si="66"/>
        <v>0</v>
      </c>
      <c r="ED74" s="3">
        <f t="shared" si="66"/>
        <v>0</v>
      </c>
      <c r="EE74" s="3">
        <f t="shared" si="66"/>
        <v>0</v>
      </c>
      <c r="EF74" s="3">
        <f t="shared" si="66"/>
        <v>0</v>
      </c>
      <c r="EG74" s="3">
        <f t="shared" si="66"/>
        <v>0</v>
      </c>
      <c r="EH74" s="3">
        <f t="shared" si="66"/>
        <v>0</v>
      </c>
      <c r="EI74" s="3">
        <f t="shared" si="66"/>
        <v>0</v>
      </c>
      <c r="EJ74" s="3">
        <f t="shared" si="66"/>
        <v>0</v>
      </c>
      <c r="EK74" s="3">
        <f t="shared" si="66"/>
        <v>0</v>
      </c>
      <c r="EL74" s="3">
        <f t="shared" si="66"/>
        <v>0</v>
      </c>
      <c r="EM74" s="3">
        <f t="shared" ref="EM74:FR74" si="67">EM106</f>
        <v>0</v>
      </c>
      <c r="EN74" s="3">
        <f t="shared" si="67"/>
        <v>0</v>
      </c>
      <c r="EO74" s="3">
        <f t="shared" si="67"/>
        <v>0</v>
      </c>
      <c r="EP74" s="3">
        <f t="shared" si="67"/>
        <v>0</v>
      </c>
      <c r="EQ74" s="3">
        <f t="shared" si="67"/>
        <v>0</v>
      </c>
      <c r="ER74" s="3">
        <f t="shared" si="67"/>
        <v>0</v>
      </c>
      <c r="ES74" s="3">
        <f t="shared" si="67"/>
        <v>0</v>
      </c>
      <c r="ET74" s="3">
        <f t="shared" si="67"/>
        <v>0</v>
      </c>
      <c r="EU74" s="3">
        <f t="shared" si="67"/>
        <v>0</v>
      </c>
      <c r="EV74" s="3">
        <f t="shared" si="67"/>
        <v>0</v>
      </c>
      <c r="EW74" s="3">
        <f t="shared" si="67"/>
        <v>0</v>
      </c>
      <c r="EX74" s="3">
        <f t="shared" si="67"/>
        <v>0</v>
      </c>
      <c r="EY74" s="3">
        <f t="shared" si="67"/>
        <v>0</v>
      </c>
      <c r="EZ74" s="3">
        <f t="shared" si="67"/>
        <v>0</v>
      </c>
      <c r="FA74" s="3">
        <f t="shared" si="67"/>
        <v>0</v>
      </c>
      <c r="FB74" s="3">
        <f t="shared" si="67"/>
        <v>0</v>
      </c>
      <c r="FC74" s="3">
        <f t="shared" si="67"/>
        <v>0</v>
      </c>
      <c r="FD74" s="3">
        <f t="shared" si="67"/>
        <v>0</v>
      </c>
      <c r="FE74" s="3">
        <f t="shared" si="67"/>
        <v>0</v>
      </c>
      <c r="FF74" s="3">
        <f t="shared" si="67"/>
        <v>0</v>
      </c>
      <c r="FG74" s="3">
        <f t="shared" si="67"/>
        <v>0</v>
      </c>
      <c r="FH74" s="3">
        <f t="shared" si="67"/>
        <v>0</v>
      </c>
      <c r="FI74" s="3">
        <f t="shared" si="67"/>
        <v>0</v>
      </c>
      <c r="FJ74" s="3">
        <f t="shared" si="67"/>
        <v>0</v>
      </c>
      <c r="FK74" s="3">
        <f t="shared" si="67"/>
        <v>0</v>
      </c>
      <c r="FL74" s="3">
        <f t="shared" si="67"/>
        <v>0</v>
      </c>
      <c r="FM74" s="3">
        <f t="shared" si="67"/>
        <v>0</v>
      </c>
      <c r="FN74" s="3">
        <f t="shared" si="67"/>
        <v>0</v>
      </c>
      <c r="FO74" s="3">
        <f t="shared" si="67"/>
        <v>0</v>
      </c>
      <c r="FP74" s="3">
        <f t="shared" si="67"/>
        <v>0</v>
      </c>
      <c r="FQ74" s="3">
        <f t="shared" si="67"/>
        <v>0</v>
      </c>
      <c r="FR74" s="3">
        <f t="shared" si="67"/>
        <v>0</v>
      </c>
      <c r="FS74" s="3">
        <f t="shared" ref="FS74:GX74" si="68">FS106</f>
        <v>0</v>
      </c>
      <c r="FT74" s="3">
        <f t="shared" si="68"/>
        <v>0</v>
      </c>
      <c r="FU74" s="3">
        <f t="shared" si="68"/>
        <v>0</v>
      </c>
      <c r="FV74" s="3">
        <f t="shared" si="68"/>
        <v>0</v>
      </c>
      <c r="FW74" s="3">
        <f t="shared" si="68"/>
        <v>0</v>
      </c>
      <c r="FX74" s="3">
        <f t="shared" si="68"/>
        <v>0</v>
      </c>
      <c r="FY74" s="3">
        <f t="shared" si="68"/>
        <v>0</v>
      </c>
      <c r="FZ74" s="3">
        <f t="shared" si="68"/>
        <v>0</v>
      </c>
      <c r="GA74" s="3">
        <f t="shared" si="68"/>
        <v>0</v>
      </c>
      <c r="GB74" s="3">
        <f t="shared" si="68"/>
        <v>0</v>
      </c>
      <c r="GC74" s="3">
        <f t="shared" si="68"/>
        <v>0</v>
      </c>
      <c r="GD74" s="3">
        <f t="shared" si="68"/>
        <v>0</v>
      </c>
      <c r="GE74" s="3">
        <f t="shared" si="68"/>
        <v>0</v>
      </c>
      <c r="GF74" s="3">
        <f t="shared" si="68"/>
        <v>0</v>
      </c>
      <c r="GG74" s="3">
        <f t="shared" si="68"/>
        <v>0</v>
      </c>
      <c r="GH74" s="3">
        <f t="shared" si="68"/>
        <v>0</v>
      </c>
      <c r="GI74" s="3">
        <f t="shared" si="68"/>
        <v>0</v>
      </c>
      <c r="GJ74" s="3">
        <f t="shared" si="68"/>
        <v>0</v>
      </c>
      <c r="GK74" s="3">
        <f t="shared" si="68"/>
        <v>0</v>
      </c>
      <c r="GL74" s="3">
        <f t="shared" si="68"/>
        <v>0</v>
      </c>
      <c r="GM74" s="3">
        <f t="shared" si="68"/>
        <v>0</v>
      </c>
      <c r="GN74" s="3">
        <f t="shared" si="68"/>
        <v>0</v>
      </c>
      <c r="GO74" s="3">
        <f t="shared" si="68"/>
        <v>0</v>
      </c>
      <c r="GP74" s="3">
        <f t="shared" si="68"/>
        <v>0</v>
      </c>
      <c r="GQ74" s="3">
        <f t="shared" si="68"/>
        <v>0</v>
      </c>
      <c r="GR74" s="3">
        <f t="shared" si="68"/>
        <v>0</v>
      </c>
      <c r="GS74" s="3">
        <f t="shared" si="68"/>
        <v>0</v>
      </c>
      <c r="GT74" s="3">
        <f t="shared" si="68"/>
        <v>0</v>
      </c>
      <c r="GU74" s="3">
        <f t="shared" si="68"/>
        <v>0</v>
      </c>
      <c r="GV74" s="3">
        <f t="shared" si="68"/>
        <v>0</v>
      </c>
      <c r="GW74" s="3">
        <f t="shared" si="68"/>
        <v>0</v>
      </c>
      <c r="GX74" s="3">
        <f t="shared" si="68"/>
        <v>0</v>
      </c>
    </row>
    <row r="76" spans="1:245">
      <c r="A76">
        <v>17</v>
      </c>
      <c r="B76">
        <v>1</v>
      </c>
      <c r="C76">
        <f>ROW(SmtRes!A90)</f>
        <v>90</v>
      </c>
      <c r="D76">
        <f>ROW(EtalonRes!A90)</f>
        <v>90</v>
      </c>
      <c r="E76" t="s">
        <v>158</v>
      </c>
      <c r="F76" t="s">
        <v>94</v>
      </c>
      <c r="G76" t="s">
        <v>159</v>
      </c>
      <c r="H76" t="s">
        <v>96</v>
      </c>
      <c r="I76">
        <f>ROUND(8/100,9)</f>
        <v>0.08</v>
      </c>
      <c r="J76">
        <v>0</v>
      </c>
      <c r="O76">
        <f t="shared" ref="O76:O104" si="69">ROUND(CP76,0)</f>
        <v>2772</v>
      </c>
      <c r="P76">
        <f t="shared" ref="P76:P104" si="70">ROUND(CQ76*I76,0)</f>
        <v>211</v>
      </c>
      <c r="Q76">
        <f t="shared" ref="Q76:Q104" si="71">ROUND(CR76*I76,0)</f>
        <v>392</v>
      </c>
      <c r="R76">
        <f t="shared" ref="R76:R104" si="72">ROUND(CS76*I76,0)</f>
        <v>119</v>
      </c>
      <c r="S76">
        <f t="shared" ref="S76:S104" si="73">ROUND(CT76*I76,0)</f>
        <v>2169</v>
      </c>
      <c r="T76">
        <f t="shared" ref="T76:T104" si="74">ROUND(CU76*I76,0)</f>
        <v>0</v>
      </c>
      <c r="U76">
        <f t="shared" ref="U76:U104" si="75">CV76*I76</f>
        <v>11.2056</v>
      </c>
      <c r="V76">
        <f t="shared" ref="V76:V104" si="76">CW76*I76</f>
        <v>0.47199999999999998</v>
      </c>
      <c r="W76">
        <f t="shared" ref="W76:W104" si="77">ROUND(CX76*I76,0)</f>
        <v>0</v>
      </c>
      <c r="X76">
        <f t="shared" ref="X76:X104" si="78">ROUND(CY76,0)</f>
        <v>1853</v>
      </c>
      <c r="Y76">
        <f t="shared" ref="Y76:Y104" si="79">ROUND(CZ76,0)</f>
        <v>1441</v>
      </c>
      <c r="AA76">
        <v>48370320</v>
      </c>
      <c r="AB76">
        <f t="shared" ref="AB76:AB104" si="80">ROUND((AC76+AD76+AF76),2)</f>
        <v>2670.37</v>
      </c>
      <c r="AC76">
        <f t="shared" ref="AC76:AC89" si="81">ROUND((ES76),2)</f>
        <v>745.18</v>
      </c>
      <c r="AD76">
        <f>ROUND(((((ET76*1.25))-((EU76*1.25)))+AE76),2)</f>
        <v>626.74</v>
      </c>
      <c r="AE76">
        <f>ROUND(((EU76*1.25)),2)</f>
        <v>71.39</v>
      </c>
      <c r="AF76">
        <f>ROUND(((EV76*1.15)),2)</f>
        <v>1298.45</v>
      </c>
      <c r="AG76">
        <f t="shared" ref="AG76:AG104" si="82">ROUND((AP76),2)</f>
        <v>0</v>
      </c>
      <c r="AH76">
        <f>((EW76*1.15))</f>
        <v>140.07</v>
      </c>
      <c r="AI76">
        <f>((EX76*1.25))</f>
        <v>5.8999999999999995</v>
      </c>
      <c r="AJ76">
        <f t="shared" ref="AJ76:AJ104" si="83">ROUND((AS76),2)</f>
        <v>0</v>
      </c>
      <c r="AK76">
        <v>2375.66</v>
      </c>
      <c r="AL76">
        <v>745.18</v>
      </c>
      <c r="AM76">
        <v>501.39</v>
      </c>
      <c r="AN76">
        <v>57.11</v>
      </c>
      <c r="AO76">
        <v>1129.0899999999999</v>
      </c>
      <c r="AP76">
        <v>0</v>
      </c>
      <c r="AQ76">
        <v>121.8</v>
      </c>
      <c r="AR76">
        <v>4.72</v>
      </c>
      <c r="AS76">
        <v>0</v>
      </c>
      <c r="AT76">
        <v>81</v>
      </c>
      <c r="AU76">
        <v>63</v>
      </c>
      <c r="AV76">
        <v>1</v>
      </c>
      <c r="AW76">
        <v>1</v>
      </c>
      <c r="AZ76">
        <v>1</v>
      </c>
      <c r="BA76">
        <v>20.88</v>
      </c>
      <c r="BB76">
        <v>7.82</v>
      </c>
      <c r="BC76">
        <v>3.54</v>
      </c>
      <c r="BD76" t="s">
        <v>3</v>
      </c>
      <c r="BE76" t="s">
        <v>3</v>
      </c>
      <c r="BF76" t="s">
        <v>3</v>
      </c>
      <c r="BG76" t="s">
        <v>3</v>
      </c>
      <c r="BH76">
        <v>0</v>
      </c>
      <c r="BI76">
        <v>1</v>
      </c>
      <c r="BJ76" t="s">
        <v>97</v>
      </c>
      <c r="BM76">
        <v>16001</v>
      </c>
      <c r="BN76">
        <v>0</v>
      </c>
      <c r="BO76" t="s">
        <v>94</v>
      </c>
      <c r="BP76">
        <v>1</v>
      </c>
      <c r="BQ76">
        <v>2</v>
      </c>
      <c r="BR76">
        <v>0</v>
      </c>
      <c r="BS76">
        <v>20.88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128</v>
      </c>
      <c r="CA76">
        <v>83</v>
      </c>
      <c r="CF76">
        <v>0</v>
      </c>
      <c r="CG76">
        <v>0</v>
      </c>
      <c r="CM76">
        <v>0</v>
      </c>
      <c r="CN76" t="s">
        <v>937</v>
      </c>
      <c r="CO76">
        <v>0</v>
      </c>
      <c r="CP76">
        <f t="shared" ref="CP76:CP104" si="84">(P76+Q76+S76)</f>
        <v>2772</v>
      </c>
      <c r="CQ76">
        <f t="shared" ref="CQ76:CQ104" si="85">AC76*BC76</f>
        <v>2637.9371999999998</v>
      </c>
      <c r="CR76">
        <f t="shared" ref="CR76:CR104" si="86">AD76*BB76</f>
        <v>4901.1068000000005</v>
      </c>
      <c r="CS76">
        <f t="shared" ref="CS76:CS104" si="87">AE76*BS76</f>
        <v>1490.6232</v>
      </c>
      <c r="CT76">
        <f t="shared" ref="CT76:CT104" si="88">AF76*BA76</f>
        <v>27111.635999999999</v>
      </c>
      <c r="CU76">
        <f t="shared" ref="CU76:CU104" si="89">AG76</f>
        <v>0</v>
      </c>
      <c r="CV76">
        <f t="shared" ref="CV76:CV104" si="90">AH76</f>
        <v>140.07</v>
      </c>
      <c r="CW76">
        <f t="shared" ref="CW76:CW104" si="91">AI76</f>
        <v>5.8999999999999995</v>
      </c>
      <c r="CX76">
        <f t="shared" ref="CX76:CX104" si="92">AJ76</f>
        <v>0</v>
      </c>
      <c r="CY76">
        <f t="shared" ref="CY76:CY104" si="93">(((S76+R76)*AT76)/100)</f>
        <v>1853.28</v>
      </c>
      <c r="CZ76">
        <f t="shared" ref="CZ76:CZ104" si="94">(((S76+R76)*AU76)/100)</f>
        <v>1441.44</v>
      </c>
      <c r="DC76" t="s">
        <v>3</v>
      </c>
      <c r="DD76" t="s">
        <v>3</v>
      </c>
      <c r="DE76" t="s">
        <v>160</v>
      </c>
      <c r="DF76" t="s">
        <v>160</v>
      </c>
      <c r="DG76" t="s">
        <v>161</v>
      </c>
      <c r="DH76" t="s">
        <v>3</v>
      </c>
      <c r="DI76" t="s">
        <v>161</v>
      </c>
      <c r="DJ76" t="s">
        <v>160</v>
      </c>
      <c r="DK76" t="s">
        <v>3</v>
      </c>
      <c r="DL76" t="s">
        <v>3</v>
      </c>
      <c r="DM76" t="s">
        <v>3</v>
      </c>
      <c r="DN76">
        <v>0</v>
      </c>
      <c r="DO76">
        <v>0</v>
      </c>
      <c r="DP76">
        <v>1</v>
      </c>
      <c r="DQ76">
        <v>1</v>
      </c>
      <c r="DU76">
        <v>1013</v>
      </c>
      <c r="DV76" t="s">
        <v>96</v>
      </c>
      <c r="DW76" t="s">
        <v>96</v>
      </c>
      <c r="DX76">
        <v>1</v>
      </c>
      <c r="EE76">
        <v>45269203</v>
      </c>
      <c r="EF76">
        <v>2</v>
      </c>
      <c r="EG76" t="s">
        <v>19</v>
      </c>
      <c r="EH76">
        <v>0</v>
      </c>
      <c r="EI76" t="s">
        <v>3</v>
      </c>
      <c r="EJ76">
        <v>1</v>
      </c>
      <c r="EK76">
        <v>16001</v>
      </c>
      <c r="EL76" t="s">
        <v>101</v>
      </c>
      <c r="EM76" t="s">
        <v>102</v>
      </c>
      <c r="EO76" t="s">
        <v>162</v>
      </c>
      <c r="EQ76">
        <v>0</v>
      </c>
      <c r="ER76">
        <v>2375.66</v>
      </c>
      <c r="ES76">
        <v>745.18</v>
      </c>
      <c r="ET76">
        <v>501.39</v>
      </c>
      <c r="EU76">
        <v>57.11</v>
      </c>
      <c r="EV76">
        <v>1129.0899999999999</v>
      </c>
      <c r="EW76">
        <v>121.8</v>
      </c>
      <c r="EX76">
        <v>4.72</v>
      </c>
      <c r="EY76">
        <v>0</v>
      </c>
      <c r="FQ76">
        <v>0</v>
      </c>
      <c r="FR76">
        <f t="shared" ref="FR76:FR104" si="95">ROUND(IF(AND(BH76=3,BI76=3),P76,0),0)</f>
        <v>0</v>
      </c>
      <c r="FS76">
        <v>0</v>
      </c>
      <c r="FT76" t="s">
        <v>22</v>
      </c>
      <c r="FU76" t="s">
        <v>23</v>
      </c>
      <c r="FX76">
        <v>80.64</v>
      </c>
      <c r="FY76">
        <v>63.494999999999997</v>
      </c>
      <c r="GA76" t="s">
        <v>3</v>
      </c>
      <c r="GD76">
        <v>0</v>
      </c>
      <c r="GF76">
        <v>-689796733</v>
      </c>
      <c r="GG76">
        <v>2</v>
      </c>
      <c r="GH76">
        <v>1</v>
      </c>
      <c r="GI76">
        <v>2</v>
      </c>
      <c r="GJ76">
        <v>0</v>
      </c>
      <c r="GK76">
        <f>ROUND(R76*(R12)/100,0)</f>
        <v>0</v>
      </c>
      <c r="GL76">
        <f t="shared" ref="GL76:GL104" si="96">ROUND(IF(AND(BH76=3,BI76=3,FS76&lt;&gt;0),P76,0),0)</f>
        <v>0</v>
      </c>
      <c r="GM76">
        <f t="shared" ref="GM76:GM104" si="97">ROUND(O76+X76+Y76+GK76,0)+GX76</f>
        <v>6066</v>
      </c>
      <c r="GN76">
        <f t="shared" ref="GN76:GN104" si="98">IF(OR(BI76=0,BI76=1),ROUND(O76+X76+Y76+GK76,0),0)</f>
        <v>6066</v>
      </c>
      <c r="GO76">
        <f t="shared" ref="GO76:GO104" si="99">IF(BI76=2,ROUND(O76+X76+Y76+GK76,0),0)</f>
        <v>0</v>
      </c>
      <c r="GP76">
        <f t="shared" ref="GP76:GP104" si="100">IF(BI76=4,ROUND(O76+X76+Y76+GK76,0)+GX76,0)</f>
        <v>0</v>
      </c>
      <c r="GR76">
        <v>0</v>
      </c>
      <c r="GS76">
        <v>3</v>
      </c>
      <c r="GT76">
        <v>0</v>
      </c>
      <c r="GU76" t="s">
        <v>3</v>
      </c>
      <c r="GV76">
        <f t="shared" ref="GV76:GV104" si="101">ROUND(GT76,2)</f>
        <v>0</v>
      </c>
      <c r="GW76">
        <v>1</v>
      </c>
      <c r="GX76">
        <f t="shared" ref="GX76:GX104" si="102">ROUND(GV76*GW76*I76,0)</f>
        <v>0</v>
      </c>
      <c r="HA76">
        <v>0</v>
      </c>
      <c r="HB76">
        <v>0</v>
      </c>
      <c r="IK76">
        <v>0</v>
      </c>
    </row>
    <row r="77" spans="1:245">
      <c r="A77">
        <v>17</v>
      </c>
      <c r="B77">
        <v>1</v>
      </c>
      <c r="C77">
        <f>ROW(SmtRes!A99)</f>
        <v>99</v>
      </c>
      <c r="D77">
        <f>ROW(EtalonRes!A99)</f>
        <v>99</v>
      </c>
      <c r="E77" t="s">
        <v>163</v>
      </c>
      <c r="F77" t="s">
        <v>88</v>
      </c>
      <c r="G77" t="s">
        <v>89</v>
      </c>
      <c r="H77" t="s">
        <v>90</v>
      </c>
      <c r="I77">
        <f>ROUND(4/100,9)</f>
        <v>0.04</v>
      </c>
      <c r="J77">
        <v>0</v>
      </c>
      <c r="O77">
        <f t="shared" si="69"/>
        <v>2028</v>
      </c>
      <c r="P77">
        <f t="shared" si="70"/>
        <v>1540</v>
      </c>
      <c r="Q77">
        <f t="shared" si="71"/>
        <v>9</v>
      </c>
      <c r="R77">
        <f t="shared" si="72"/>
        <v>2</v>
      </c>
      <c r="S77">
        <f t="shared" si="73"/>
        <v>479</v>
      </c>
      <c r="T77">
        <f t="shared" si="74"/>
        <v>0</v>
      </c>
      <c r="U77">
        <f t="shared" si="75"/>
        <v>2.476</v>
      </c>
      <c r="V77">
        <f t="shared" si="76"/>
        <v>8.0000000000000002E-3</v>
      </c>
      <c r="W77">
        <f t="shared" si="77"/>
        <v>0</v>
      </c>
      <c r="X77">
        <f t="shared" si="78"/>
        <v>346</v>
      </c>
      <c r="Y77">
        <f t="shared" si="79"/>
        <v>260</v>
      </c>
      <c r="AA77">
        <v>48370320</v>
      </c>
      <c r="AB77">
        <f t="shared" si="80"/>
        <v>12627.43</v>
      </c>
      <c r="AC77">
        <f t="shared" si="81"/>
        <v>12028.85</v>
      </c>
      <c r="AD77">
        <f>ROUND((((ET77)-(EU77))+AE77),2)</f>
        <v>24.77</v>
      </c>
      <c r="AE77">
        <f>ROUND((EU77),2)</f>
        <v>2.42</v>
      </c>
      <c r="AF77">
        <f>ROUND((EV77),2)</f>
        <v>573.80999999999995</v>
      </c>
      <c r="AG77">
        <f t="shared" si="82"/>
        <v>0</v>
      </c>
      <c r="AH77">
        <f>(EW77)</f>
        <v>61.9</v>
      </c>
      <c r="AI77">
        <f>(EX77)</f>
        <v>0.2</v>
      </c>
      <c r="AJ77">
        <f t="shared" si="83"/>
        <v>0</v>
      </c>
      <c r="AK77">
        <v>12627.43</v>
      </c>
      <c r="AL77">
        <v>12028.85</v>
      </c>
      <c r="AM77">
        <v>24.77</v>
      </c>
      <c r="AN77">
        <v>2.42</v>
      </c>
      <c r="AO77">
        <v>573.80999999999995</v>
      </c>
      <c r="AP77">
        <v>0</v>
      </c>
      <c r="AQ77">
        <v>61.9</v>
      </c>
      <c r="AR77">
        <v>0.2</v>
      </c>
      <c r="AS77">
        <v>0</v>
      </c>
      <c r="AT77">
        <v>72</v>
      </c>
      <c r="AU77">
        <v>54</v>
      </c>
      <c r="AV77">
        <v>1</v>
      </c>
      <c r="AW77">
        <v>1</v>
      </c>
      <c r="AZ77">
        <v>1</v>
      </c>
      <c r="BA77">
        <v>20.88</v>
      </c>
      <c r="BB77">
        <v>9.4600000000000009</v>
      </c>
      <c r="BC77">
        <v>3.2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91</v>
      </c>
      <c r="BM77">
        <v>65007</v>
      </c>
      <c r="BN77">
        <v>0</v>
      </c>
      <c r="BO77" t="s">
        <v>88</v>
      </c>
      <c r="BP77">
        <v>1</v>
      </c>
      <c r="BQ77">
        <v>6</v>
      </c>
      <c r="BR77">
        <v>0</v>
      </c>
      <c r="BS77">
        <v>20.88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103</v>
      </c>
      <c r="CA77">
        <v>60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84"/>
        <v>2028</v>
      </c>
      <c r="CQ77">
        <f t="shared" si="85"/>
        <v>38492.32</v>
      </c>
      <c r="CR77">
        <f t="shared" si="86"/>
        <v>234.32420000000002</v>
      </c>
      <c r="CS77">
        <f t="shared" si="87"/>
        <v>50.529599999999995</v>
      </c>
      <c r="CT77">
        <f t="shared" si="88"/>
        <v>11981.152799999998</v>
      </c>
      <c r="CU77">
        <f t="shared" si="89"/>
        <v>0</v>
      </c>
      <c r="CV77">
        <f t="shared" si="90"/>
        <v>61.9</v>
      </c>
      <c r="CW77">
        <f t="shared" si="91"/>
        <v>0.2</v>
      </c>
      <c r="CX77">
        <f t="shared" si="92"/>
        <v>0</v>
      </c>
      <c r="CY77">
        <f t="shared" si="93"/>
        <v>346.32</v>
      </c>
      <c r="CZ77">
        <f t="shared" si="94"/>
        <v>259.74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1013</v>
      </c>
      <c r="DV77" t="s">
        <v>90</v>
      </c>
      <c r="DW77" t="s">
        <v>90</v>
      </c>
      <c r="DX77">
        <v>1</v>
      </c>
      <c r="EE77">
        <v>45269275</v>
      </c>
      <c r="EF77">
        <v>6</v>
      </c>
      <c r="EG77" t="s">
        <v>33</v>
      </c>
      <c r="EH77">
        <v>0</v>
      </c>
      <c r="EI77" t="s">
        <v>3</v>
      </c>
      <c r="EJ77">
        <v>1</v>
      </c>
      <c r="EK77">
        <v>65007</v>
      </c>
      <c r="EL77" t="s">
        <v>92</v>
      </c>
      <c r="EM77" t="s">
        <v>74</v>
      </c>
      <c r="EO77" t="s">
        <v>3</v>
      </c>
      <c r="EQ77">
        <v>0</v>
      </c>
      <c r="ER77">
        <v>12627.43</v>
      </c>
      <c r="ES77">
        <v>12028.85</v>
      </c>
      <c r="ET77">
        <v>24.77</v>
      </c>
      <c r="EU77">
        <v>2.42</v>
      </c>
      <c r="EV77">
        <v>573.80999999999995</v>
      </c>
      <c r="EW77">
        <v>61.9</v>
      </c>
      <c r="EX77">
        <v>0.2</v>
      </c>
      <c r="EY77">
        <v>0</v>
      </c>
      <c r="FQ77">
        <v>0</v>
      </c>
      <c r="FR77">
        <f t="shared" si="95"/>
        <v>0</v>
      </c>
      <c r="FS77">
        <v>0</v>
      </c>
      <c r="FT77" t="s">
        <v>36</v>
      </c>
      <c r="FU77" t="s">
        <v>37</v>
      </c>
      <c r="FX77">
        <v>72.099999999999994</v>
      </c>
      <c r="FY77">
        <v>54</v>
      </c>
      <c r="GA77" t="s">
        <v>3</v>
      </c>
      <c r="GD77">
        <v>0</v>
      </c>
      <c r="GF77">
        <v>945088844</v>
      </c>
      <c r="GG77">
        <v>2</v>
      </c>
      <c r="GH77">
        <v>1</v>
      </c>
      <c r="GI77">
        <v>2</v>
      </c>
      <c r="GJ77">
        <v>0</v>
      </c>
      <c r="GK77">
        <f>ROUND(R77*(R12)/100,0)</f>
        <v>0</v>
      </c>
      <c r="GL77">
        <f t="shared" si="96"/>
        <v>0</v>
      </c>
      <c r="GM77">
        <f t="shared" si="97"/>
        <v>2634</v>
      </c>
      <c r="GN77">
        <f t="shared" si="98"/>
        <v>2634</v>
      </c>
      <c r="GO77">
        <f t="shared" si="99"/>
        <v>0</v>
      </c>
      <c r="GP77">
        <f t="shared" si="100"/>
        <v>0</v>
      </c>
      <c r="GR77">
        <v>0</v>
      </c>
      <c r="GS77">
        <v>3</v>
      </c>
      <c r="GT77">
        <v>0</v>
      </c>
      <c r="GU77" t="s">
        <v>3</v>
      </c>
      <c r="GV77">
        <f t="shared" si="101"/>
        <v>0</v>
      </c>
      <c r="GW77">
        <v>1</v>
      </c>
      <c r="GX77">
        <f t="shared" si="102"/>
        <v>0</v>
      </c>
      <c r="HA77">
        <v>0</v>
      </c>
      <c r="HB77">
        <v>0</v>
      </c>
      <c r="IK77">
        <v>0</v>
      </c>
    </row>
    <row r="78" spans="1:245">
      <c r="A78">
        <v>17</v>
      </c>
      <c r="B78">
        <v>1</v>
      </c>
      <c r="C78">
        <f>ROW(SmtRes!A105)</f>
        <v>105</v>
      </c>
      <c r="D78">
        <f>ROW(EtalonRes!A105)</f>
        <v>105</v>
      </c>
      <c r="E78" t="s">
        <v>164</v>
      </c>
      <c r="F78" t="s">
        <v>165</v>
      </c>
      <c r="G78" t="s">
        <v>166</v>
      </c>
      <c r="H78" t="s">
        <v>48</v>
      </c>
      <c r="I78">
        <f>ROUND(21/100,9)</f>
        <v>0.21</v>
      </c>
      <c r="J78">
        <v>0</v>
      </c>
      <c r="O78">
        <f t="shared" si="69"/>
        <v>301</v>
      </c>
      <c r="P78">
        <f t="shared" si="70"/>
        <v>1</v>
      </c>
      <c r="Q78">
        <f t="shared" si="71"/>
        <v>3</v>
      </c>
      <c r="R78">
        <f t="shared" si="72"/>
        <v>1</v>
      </c>
      <c r="S78">
        <f t="shared" si="73"/>
        <v>297</v>
      </c>
      <c r="T78">
        <f t="shared" si="74"/>
        <v>0</v>
      </c>
      <c r="U78">
        <f t="shared" si="75"/>
        <v>1.5818249999999996</v>
      </c>
      <c r="V78">
        <f t="shared" si="76"/>
        <v>2.6250000000000002E-3</v>
      </c>
      <c r="W78">
        <f t="shared" si="77"/>
        <v>0</v>
      </c>
      <c r="X78">
        <f t="shared" si="78"/>
        <v>197</v>
      </c>
      <c r="Y78">
        <f t="shared" si="79"/>
        <v>125</v>
      </c>
      <c r="AA78">
        <v>48370320</v>
      </c>
      <c r="AB78">
        <f t="shared" si="80"/>
        <v>69.44</v>
      </c>
      <c r="AC78">
        <f t="shared" si="81"/>
        <v>0.18</v>
      </c>
      <c r="AD78">
        <f>ROUND(((((ET78*1.25))-((EU78*1.25)))+AE78),2)</f>
        <v>1.55</v>
      </c>
      <c r="AE78">
        <f>ROUND(((EU78*1.25)),2)</f>
        <v>0.15</v>
      </c>
      <c r="AF78">
        <f>ROUND(((EV78*1.15)),2)</f>
        <v>67.709999999999994</v>
      </c>
      <c r="AG78">
        <f t="shared" si="82"/>
        <v>0</v>
      </c>
      <c r="AH78">
        <f>((EW78*1.15))</f>
        <v>7.5324999999999989</v>
      </c>
      <c r="AI78">
        <f>((EX78*1.25))</f>
        <v>1.2500000000000001E-2</v>
      </c>
      <c r="AJ78">
        <f t="shared" si="83"/>
        <v>0</v>
      </c>
      <c r="AK78">
        <v>60.3</v>
      </c>
      <c r="AL78">
        <v>0.18</v>
      </c>
      <c r="AM78">
        <v>1.24</v>
      </c>
      <c r="AN78">
        <v>0.12</v>
      </c>
      <c r="AO78">
        <v>58.88</v>
      </c>
      <c r="AP78">
        <v>0</v>
      </c>
      <c r="AQ78">
        <v>6.55</v>
      </c>
      <c r="AR78">
        <v>0.01</v>
      </c>
      <c r="AS78">
        <v>0</v>
      </c>
      <c r="AT78">
        <v>66</v>
      </c>
      <c r="AU78">
        <v>42</v>
      </c>
      <c r="AV78">
        <v>1</v>
      </c>
      <c r="AW78">
        <v>1</v>
      </c>
      <c r="AZ78">
        <v>1</v>
      </c>
      <c r="BA78">
        <v>20.88</v>
      </c>
      <c r="BB78">
        <v>9.4499999999999993</v>
      </c>
      <c r="BC78">
        <v>14.56</v>
      </c>
      <c r="BD78" t="s">
        <v>3</v>
      </c>
      <c r="BE78" t="s">
        <v>3</v>
      </c>
      <c r="BF78" t="s">
        <v>3</v>
      </c>
      <c r="BG78" t="s">
        <v>3</v>
      </c>
      <c r="BH78">
        <v>0</v>
      </c>
      <c r="BI78">
        <v>1</v>
      </c>
      <c r="BJ78" t="s">
        <v>167</v>
      </c>
      <c r="BM78">
        <v>15001</v>
      </c>
      <c r="BN78">
        <v>0</v>
      </c>
      <c r="BO78" t="s">
        <v>165</v>
      </c>
      <c r="BP78">
        <v>1</v>
      </c>
      <c r="BQ78">
        <v>2</v>
      </c>
      <c r="BR78">
        <v>0</v>
      </c>
      <c r="BS78">
        <v>20.88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105</v>
      </c>
      <c r="CA78">
        <v>55</v>
      </c>
      <c r="CF78">
        <v>0</v>
      </c>
      <c r="CG78">
        <v>0</v>
      </c>
      <c r="CM78">
        <v>0</v>
      </c>
      <c r="CN78" t="s">
        <v>937</v>
      </c>
      <c r="CO78">
        <v>0</v>
      </c>
      <c r="CP78">
        <f t="shared" si="84"/>
        <v>301</v>
      </c>
      <c r="CQ78">
        <f t="shared" si="85"/>
        <v>2.6208</v>
      </c>
      <c r="CR78">
        <f t="shared" si="86"/>
        <v>14.647499999999999</v>
      </c>
      <c r="CS78">
        <f t="shared" si="87"/>
        <v>3.1319999999999997</v>
      </c>
      <c r="CT78">
        <f t="shared" si="88"/>
        <v>1413.7847999999999</v>
      </c>
      <c r="CU78">
        <f t="shared" si="89"/>
        <v>0</v>
      </c>
      <c r="CV78">
        <f t="shared" si="90"/>
        <v>7.5324999999999989</v>
      </c>
      <c r="CW78">
        <f t="shared" si="91"/>
        <v>1.2500000000000001E-2</v>
      </c>
      <c r="CX78">
        <f t="shared" si="92"/>
        <v>0</v>
      </c>
      <c r="CY78">
        <f t="shared" si="93"/>
        <v>196.68</v>
      </c>
      <c r="CZ78">
        <f t="shared" si="94"/>
        <v>125.16</v>
      </c>
      <c r="DC78" t="s">
        <v>3</v>
      </c>
      <c r="DD78" t="s">
        <v>3</v>
      </c>
      <c r="DE78" t="s">
        <v>160</v>
      </c>
      <c r="DF78" t="s">
        <v>160</v>
      </c>
      <c r="DG78" t="s">
        <v>161</v>
      </c>
      <c r="DH78" t="s">
        <v>3</v>
      </c>
      <c r="DI78" t="s">
        <v>161</v>
      </c>
      <c r="DJ78" t="s">
        <v>160</v>
      </c>
      <c r="DK78" t="s">
        <v>3</v>
      </c>
      <c r="DL78" t="s">
        <v>3</v>
      </c>
      <c r="DM78" t="s">
        <v>3</v>
      </c>
      <c r="DN78">
        <v>0</v>
      </c>
      <c r="DO78">
        <v>0</v>
      </c>
      <c r="DP78">
        <v>1</v>
      </c>
      <c r="DQ78">
        <v>1</v>
      </c>
      <c r="DU78">
        <v>1013</v>
      </c>
      <c r="DV78" t="s">
        <v>48</v>
      </c>
      <c r="DW78" t="s">
        <v>48</v>
      </c>
      <c r="DX78">
        <v>1</v>
      </c>
      <c r="EE78">
        <v>45269202</v>
      </c>
      <c r="EF78">
        <v>2</v>
      </c>
      <c r="EG78" t="s">
        <v>19</v>
      </c>
      <c r="EH78">
        <v>0</v>
      </c>
      <c r="EI78" t="s">
        <v>3</v>
      </c>
      <c r="EJ78">
        <v>1</v>
      </c>
      <c r="EK78">
        <v>15001</v>
      </c>
      <c r="EL78" t="s">
        <v>157</v>
      </c>
      <c r="EM78" t="s">
        <v>168</v>
      </c>
      <c r="EO78" t="s">
        <v>162</v>
      </c>
      <c r="EQ78">
        <v>0</v>
      </c>
      <c r="ER78">
        <v>60.3</v>
      </c>
      <c r="ES78">
        <v>0.18</v>
      </c>
      <c r="ET78">
        <v>1.24</v>
      </c>
      <c r="EU78">
        <v>0.12</v>
      </c>
      <c r="EV78">
        <v>58.88</v>
      </c>
      <c r="EW78">
        <v>6.55</v>
      </c>
      <c r="EX78">
        <v>0.01</v>
      </c>
      <c r="EY78">
        <v>0</v>
      </c>
      <c r="FQ78">
        <v>0</v>
      </c>
      <c r="FR78">
        <f t="shared" si="95"/>
        <v>0</v>
      </c>
      <c r="FS78">
        <v>0</v>
      </c>
      <c r="FT78" t="s">
        <v>22</v>
      </c>
      <c r="FU78" t="s">
        <v>23</v>
      </c>
      <c r="FX78">
        <v>66.150000000000006</v>
      </c>
      <c r="FY78">
        <v>42.075000000000003</v>
      </c>
      <c r="GA78" t="s">
        <v>3</v>
      </c>
      <c r="GD78">
        <v>0</v>
      </c>
      <c r="GF78">
        <v>1550896296</v>
      </c>
      <c r="GG78">
        <v>2</v>
      </c>
      <c r="GH78">
        <v>1</v>
      </c>
      <c r="GI78">
        <v>2</v>
      </c>
      <c r="GJ78">
        <v>0</v>
      </c>
      <c r="GK78">
        <f>ROUND(R78*(R12)/100,0)</f>
        <v>0</v>
      </c>
      <c r="GL78">
        <f t="shared" si="96"/>
        <v>0</v>
      </c>
      <c r="GM78">
        <f t="shared" si="97"/>
        <v>623</v>
      </c>
      <c r="GN78">
        <f t="shared" si="98"/>
        <v>623</v>
      </c>
      <c r="GO78">
        <f t="shared" si="99"/>
        <v>0</v>
      </c>
      <c r="GP78">
        <f t="shared" si="100"/>
        <v>0</v>
      </c>
      <c r="GR78">
        <v>0</v>
      </c>
      <c r="GS78">
        <v>3</v>
      </c>
      <c r="GT78">
        <v>0</v>
      </c>
      <c r="GU78" t="s">
        <v>3</v>
      </c>
      <c r="GV78">
        <f t="shared" si="101"/>
        <v>0</v>
      </c>
      <c r="GW78">
        <v>1</v>
      </c>
      <c r="GX78">
        <f t="shared" si="102"/>
        <v>0</v>
      </c>
      <c r="HA78">
        <v>0</v>
      </c>
      <c r="HB78">
        <v>0</v>
      </c>
      <c r="IK78">
        <v>0</v>
      </c>
    </row>
    <row r="79" spans="1:245">
      <c r="A79">
        <v>17</v>
      </c>
      <c r="B79">
        <v>1</v>
      </c>
      <c r="E79" t="s">
        <v>169</v>
      </c>
      <c r="F79" t="s">
        <v>170</v>
      </c>
      <c r="G79" t="s">
        <v>171</v>
      </c>
      <c r="H79" t="s">
        <v>172</v>
      </c>
      <c r="I79">
        <v>2.73</v>
      </c>
      <c r="J79">
        <v>0</v>
      </c>
      <c r="O79">
        <f t="shared" si="69"/>
        <v>254</v>
      </c>
      <c r="P79">
        <f t="shared" si="70"/>
        <v>254</v>
      </c>
      <c r="Q79">
        <f t="shared" si="71"/>
        <v>0</v>
      </c>
      <c r="R79">
        <f t="shared" si="72"/>
        <v>0</v>
      </c>
      <c r="S79">
        <f t="shared" si="73"/>
        <v>0</v>
      </c>
      <c r="T79">
        <f t="shared" si="74"/>
        <v>0</v>
      </c>
      <c r="U79">
        <f t="shared" si="75"/>
        <v>0</v>
      </c>
      <c r="V79">
        <f t="shared" si="76"/>
        <v>0</v>
      </c>
      <c r="W79">
        <f t="shared" si="77"/>
        <v>0</v>
      </c>
      <c r="X79">
        <f t="shared" si="78"/>
        <v>0</v>
      </c>
      <c r="Y79">
        <f t="shared" si="79"/>
        <v>0</v>
      </c>
      <c r="AA79">
        <v>48370320</v>
      </c>
      <c r="AB79">
        <f t="shared" si="80"/>
        <v>22.1</v>
      </c>
      <c r="AC79">
        <f t="shared" si="81"/>
        <v>22.1</v>
      </c>
      <c r="AD79">
        <f>ROUND((((ET79)-(EU79))+AE79),2)</f>
        <v>0</v>
      </c>
      <c r="AE79">
        <f>ROUND((EU79),2)</f>
        <v>0</v>
      </c>
      <c r="AF79">
        <f>ROUND((EV79),2)</f>
        <v>0</v>
      </c>
      <c r="AG79">
        <f t="shared" si="82"/>
        <v>0</v>
      </c>
      <c r="AH79">
        <f>(EW79)</f>
        <v>0</v>
      </c>
      <c r="AI79">
        <f>(EX79)</f>
        <v>0</v>
      </c>
      <c r="AJ79">
        <f t="shared" si="83"/>
        <v>0</v>
      </c>
      <c r="AK79">
        <v>22.1</v>
      </c>
      <c r="AL79">
        <v>22.1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4.21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173</v>
      </c>
      <c r="BM79">
        <v>500001</v>
      </c>
      <c r="BN79">
        <v>0</v>
      </c>
      <c r="BO79" t="s">
        <v>170</v>
      </c>
      <c r="BP79">
        <v>1</v>
      </c>
      <c r="BQ79">
        <v>8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84"/>
        <v>254</v>
      </c>
      <c r="CQ79">
        <f t="shared" si="85"/>
        <v>93.041000000000011</v>
      </c>
      <c r="CR79">
        <f t="shared" si="86"/>
        <v>0</v>
      </c>
      <c r="CS79">
        <f t="shared" si="87"/>
        <v>0</v>
      </c>
      <c r="CT79">
        <f t="shared" si="88"/>
        <v>0</v>
      </c>
      <c r="CU79">
        <f t="shared" si="89"/>
        <v>0</v>
      </c>
      <c r="CV79">
        <f t="shared" si="90"/>
        <v>0</v>
      </c>
      <c r="CW79">
        <f t="shared" si="91"/>
        <v>0</v>
      </c>
      <c r="CX79">
        <f t="shared" si="92"/>
        <v>0</v>
      </c>
      <c r="CY79">
        <f t="shared" si="93"/>
        <v>0</v>
      </c>
      <c r="CZ79">
        <f t="shared" si="94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172</v>
      </c>
      <c r="DW79" t="s">
        <v>172</v>
      </c>
      <c r="DX79">
        <v>1</v>
      </c>
      <c r="EE79">
        <v>45269109</v>
      </c>
      <c r="EF79">
        <v>8</v>
      </c>
      <c r="EG79" t="s">
        <v>174</v>
      </c>
      <c r="EH79">
        <v>0</v>
      </c>
      <c r="EI79" t="s">
        <v>3</v>
      </c>
      <c r="EJ79">
        <v>1</v>
      </c>
      <c r="EK79">
        <v>500001</v>
      </c>
      <c r="EL79" t="s">
        <v>175</v>
      </c>
      <c r="EM79" t="s">
        <v>176</v>
      </c>
      <c r="EO79" t="s">
        <v>3</v>
      </c>
      <c r="EQ79">
        <v>0</v>
      </c>
      <c r="ER79">
        <v>22.1</v>
      </c>
      <c r="ES79">
        <v>22.1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 t="shared" si="95"/>
        <v>0</v>
      </c>
      <c r="FS79">
        <v>0</v>
      </c>
      <c r="FX79">
        <v>0</v>
      </c>
      <c r="FY79">
        <v>0</v>
      </c>
      <c r="GA79" t="s">
        <v>3</v>
      </c>
      <c r="GD79">
        <v>0</v>
      </c>
      <c r="GF79">
        <v>2081603469</v>
      </c>
      <c r="GG79">
        <v>2</v>
      </c>
      <c r="GH79">
        <v>1</v>
      </c>
      <c r="GI79">
        <v>2</v>
      </c>
      <c r="GJ79">
        <v>0</v>
      </c>
      <c r="GK79">
        <f>ROUND(R79*(R12)/100,0)</f>
        <v>0</v>
      </c>
      <c r="GL79">
        <f t="shared" si="96"/>
        <v>0</v>
      </c>
      <c r="GM79">
        <f t="shared" si="97"/>
        <v>254</v>
      </c>
      <c r="GN79">
        <f t="shared" si="98"/>
        <v>254</v>
      </c>
      <c r="GO79">
        <f t="shared" si="99"/>
        <v>0</v>
      </c>
      <c r="GP79">
        <f t="shared" si="100"/>
        <v>0</v>
      </c>
      <c r="GR79">
        <v>0</v>
      </c>
      <c r="GS79">
        <v>3</v>
      </c>
      <c r="GT79">
        <v>0</v>
      </c>
      <c r="GU79" t="s">
        <v>3</v>
      </c>
      <c r="GV79">
        <f t="shared" si="101"/>
        <v>0</v>
      </c>
      <c r="GW79">
        <v>1</v>
      </c>
      <c r="GX79">
        <f t="shared" si="102"/>
        <v>0</v>
      </c>
      <c r="HA79">
        <v>0</v>
      </c>
      <c r="HB79">
        <v>0</v>
      </c>
      <c r="IK79">
        <v>0</v>
      </c>
    </row>
    <row r="80" spans="1:245">
      <c r="A80">
        <v>17</v>
      </c>
      <c r="B80">
        <v>1</v>
      </c>
      <c r="C80">
        <f>ROW(SmtRes!A113)</f>
        <v>113</v>
      </c>
      <c r="D80">
        <f>ROW(EtalonRes!A113)</f>
        <v>113</v>
      </c>
      <c r="E80" t="s">
        <v>177</v>
      </c>
      <c r="F80" t="s">
        <v>178</v>
      </c>
      <c r="G80" t="s">
        <v>179</v>
      </c>
      <c r="H80" t="s">
        <v>180</v>
      </c>
      <c r="I80">
        <f>ROUND(21/100,9)</f>
        <v>0.21</v>
      </c>
      <c r="J80">
        <v>0</v>
      </c>
      <c r="O80">
        <f t="shared" si="69"/>
        <v>4745</v>
      </c>
      <c r="P80">
        <f t="shared" si="70"/>
        <v>1136</v>
      </c>
      <c r="Q80">
        <f t="shared" si="71"/>
        <v>385</v>
      </c>
      <c r="R80">
        <f t="shared" si="72"/>
        <v>280</v>
      </c>
      <c r="S80">
        <f t="shared" si="73"/>
        <v>3224</v>
      </c>
      <c r="T80">
        <f t="shared" si="74"/>
        <v>0</v>
      </c>
      <c r="U80">
        <f t="shared" si="75"/>
        <v>18.209099999999999</v>
      </c>
      <c r="V80">
        <f t="shared" si="76"/>
        <v>1.593375</v>
      </c>
      <c r="W80">
        <f t="shared" si="77"/>
        <v>0</v>
      </c>
      <c r="X80">
        <f t="shared" si="78"/>
        <v>2313</v>
      </c>
      <c r="Y80">
        <f t="shared" si="79"/>
        <v>1472</v>
      </c>
      <c r="AA80">
        <v>48370320</v>
      </c>
      <c r="AB80">
        <f t="shared" si="80"/>
        <v>1546.41</v>
      </c>
      <c r="AC80">
        <f t="shared" si="81"/>
        <v>685.76</v>
      </c>
      <c r="AD80">
        <f>ROUND(((((ET80*1.25))-((EU80*1.25)))+AE80),2)</f>
        <v>125.35</v>
      </c>
      <c r="AE80">
        <f>ROUND(((EU80*1.25)),2)</f>
        <v>63.89</v>
      </c>
      <c r="AF80">
        <f>ROUND(((EV80*1.15)),2)</f>
        <v>735.3</v>
      </c>
      <c r="AG80">
        <f t="shared" si="82"/>
        <v>0</v>
      </c>
      <c r="AH80">
        <f>((EW80*1.15))</f>
        <v>86.71</v>
      </c>
      <c r="AI80">
        <f>((EX80*1.25))</f>
        <v>7.5875000000000004</v>
      </c>
      <c r="AJ80">
        <f t="shared" si="83"/>
        <v>0</v>
      </c>
      <c r="AK80">
        <v>1425.43</v>
      </c>
      <c r="AL80">
        <v>685.76</v>
      </c>
      <c r="AM80">
        <v>100.28</v>
      </c>
      <c r="AN80">
        <v>51.11</v>
      </c>
      <c r="AO80">
        <v>639.39</v>
      </c>
      <c r="AP80">
        <v>0</v>
      </c>
      <c r="AQ80">
        <v>75.400000000000006</v>
      </c>
      <c r="AR80">
        <v>6.07</v>
      </c>
      <c r="AS80">
        <v>0</v>
      </c>
      <c r="AT80">
        <v>66</v>
      </c>
      <c r="AU80">
        <v>42</v>
      </c>
      <c r="AV80">
        <v>1</v>
      </c>
      <c r="AW80">
        <v>1</v>
      </c>
      <c r="AZ80">
        <v>1</v>
      </c>
      <c r="BA80">
        <v>20.88</v>
      </c>
      <c r="BB80">
        <v>14.61</v>
      </c>
      <c r="BC80">
        <v>7.89</v>
      </c>
      <c r="BD80" t="s">
        <v>3</v>
      </c>
      <c r="BE80" t="s">
        <v>3</v>
      </c>
      <c r="BF80" t="s">
        <v>3</v>
      </c>
      <c r="BG80" t="s">
        <v>3</v>
      </c>
      <c r="BH80">
        <v>0</v>
      </c>
      <c r="BI80">
        <v>1</v>
      </c>
      <c r="BJ80" t="s">
        <v>181</v>
      </c>
      <c r="BM80">
        <v>15001</v>
      </c>
      <c r="BN80">
        <v>0</v>
      </c>
      <c r="BO80" t="s">
        <v>178</v>
      </c>
      <c r="BP80">
        <v>1</v>
      </c>
      <c r="BQ80">
        <v>2</v>
      </c>
      <c r="BR80">
        <v>0</v>
      </c>
      <c r="BS80">
        <v>20.88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105</v>
      </c>
      <c r="CA80">
        <v>55</v>
      </c>
      <c r="CF80">
        <v>0</v>
      </c>
      <c r="CG80">
        <v>0</v>
      </c>
      <c r="CM80">
        <v>0</v>
      </c>
      <c r="CN80" t="s">
        <v>937</v>
      </c>
      <c r="CO80">
        <v>0</v>
      </c>
      <c r="CP80">
        <f t="shared" si="84"/>
        <v>4745</v>
      </c>
      <c r="CQ80">
        <f t="shared" si="85"/>
        <v>5410.6463999999996</v>
      </c>
      <c r="CR80">
        <f t="shared" si="86"/>
        <v>1831.3634999999999</v>
      </c>
      <c r="CS80">
        <f t="shared" si="87"/>
        <v>1334.0231999999999</v>
      </c>
      <c r="CT80">
        <f t="shared" si="88"/>
        <v>15353.063999999998</v>
      </c>
      <c r="CU80">
        <f t="shared" si="89"/>
        <v>0</v>
      </c>
      <c r="CV80">
        <f t="shared" si="90"/>
        <v>86.71</v>
      </c>
      <c r="CW80">
        <f t="shared" si="91"/>
        <v>7.5875000000000004</v>
      </c>
      <c r="CX80">
        <f t="shared" si="92"/>
        <v>0</v>
      </c>
      <c r="CY80">
        <f t="shared" si="93"/>
        <v>2312.64</v>
      </c>
      <c r="CZ80">
        <f t="shared" si="94"/>
        <v>1471.68</v>
      </c>
      <c r="DC80" t="s">
        <v>3</v>
      </c>
      <c r="DD80" t="s">
        <v>3</v>
      </c>
      <c r="DE80" t="s">
        <v>160</v>
      </c>
      <c r="DF80" t="s">
        <v>160</v>
      </c>
      <c r="DG80" t="s">
        <v>161</v>
      </c>
      <c r="DH80" t="s">
        <v>3</v>
      </c>
      <c r="DI80" t="s">
        <v>161</v>
      </c>
      <c r="DJ80" t="s">
        <v>160</v>
      </c>
      <c r="DK80" t="s">
        <v>3</v>
      </c>
      <c r="DL80" t="s">
        <v>3</v>
      </c>
      <c r="DM80" t="s">
        <v>3</v>
      </c>
      <c r="DN80">
        <v>0</v>
      </c>
      <c r="DO80">
        <v>0</v>
      </c>
      <c r="DP80">
        <v>1</v>
      </c>
      <c r="DQ80">
        <v>1</v>
      </c>
      <c r="DU80">
        <v>1013</v>
      </c>
      <c r="DV80" t="s">
        <v>180</v>
      </c>
      <c r="DW80" t="s">
        <v>180</v>
      </c>
      <c r="DX80">
        <v>1</v>
      </c>
      <c r="EE80">
        <v>45269202</v>
      </c>
      <c r="EF80">
        <v>2</v>
      </c>
      <c r="EG80" t="s">
        <v>19</v>
      </c>
      <c r="EH80">
        <v>0</v>
      </c>
      <c r="EI80" t="s">
        <v>3</v>
      </c>
      <c r="EJ80">
        <v>1</v>
      </c>
      <c r="EK80">
        <v>15001</v>
      </c>
      <c r="EL80" t="s">
        <v>157</v>
      </c>
      <c r="EM80" t="s">
        <v>168</v>
      </c>
      <c r="EO80" t="s">
        <v>162</v>
      </c>
      <c r="EQ80">
        <v>0</v>
      </c>
      <c r="ER80">
        <v>1425.43</v>
      </c>
      <c r="ES80">
        <v>685.76</v>
      </c>
      <c r="ET80">
        <v>100.28</v>
      </c>
      <c r="EU80">
        <v>51.11</v>
      </c>
      <c r="EV80">
        <v>639.39</v>
      </c>
      <c r="EW80">
        <v>75.400000000000006</v>
      </c>
      <c r="EX80">
        <v>6.07</v>
      </c>
      <c r="EY80">
        <v>0</v>
      </c>
      <c r="FQ80">
        <v>0</v>
      </c>
      <c r="FR80">
        <f t="shared" si="95"/>
        <v>0</v>
      </c>
      <c r="FS80">
        <v>0</v>
      </c>
      <c r="FT80" t="s">
        <v>22</v>
      </c>
      <c r="FU80" t="s">
        <v>23</v>
      </c>
      <c r="FX80">
        <v>66.150000000000006</v>
      </c>
      <c r="FY80">
        <v>42.075000000000003</v>
      </c>
      <c r="GA80" t="s">
        <v>3</v>
      </c>
      <c r="GD80">
        <v>0</v>
      </c>
      <c r="GF80">
        <v>1187833883</v>
      </c>
      <c r="GG80">
        <v>2</v>
      </c>
      <c r="GH80">
        <v>1</v>
      </c>
      <c r="GI80">
        <v>2</v>
      </c>
      <c r="GJ80">
        <v>0</v>
      </c>
      <c r="GK80">
        <f>ROUND(R80*(R12)/100,0)</f>
        <v>0</v>
      </c>
      <c r="GL80">
        <f t="shared" si="96"/>
        <v>0</v>
      </c>
      <c r="GM80">
        <f t="shared" si="97"/>
        <v>8530</v>
      </c>
      <c r="GN80">
        <f t="shared" si="98"/>
        <v>8530</v>
      </c>
      <c r="GO80">
        <f t="shared" si="99"/>
        <v>0</v>
      </c>
      <c r="GP80">
        <f t="shared" si="100"/>
        <v>0</v>
      </c>
      <c r="GR80">
        <v>0</v>
      </c>
      <c r="GS80">
        <v>3</v>
      </c>
      <c r="GT80">
        <v>0</v>
      </c>
      <c r="GU80" t="s">
        <v>3</v>
      </c>
      <c r="GV80">
        <f t="shared" si="101"/>
        <v>0</v>
      </c>
      <c r="GW80">
        <v>1</v>
      </c>
      <c r="GX80">
        <f t="shared" si="102"/>
        <v>0</v>
      </c>
      <c r="HA80">
        <v>0</v>
      </c>
      <c r="HB80">
        <v>0</v>
      </c>
      <c r="IK80">
        <v>0</v>
      </c>
    </row>
    <row r="81" spans="1:245">
      <c r="A81">
        <v>17</v>
      </c>
      <c r="B81">
        <v>1</v>
      </c>
      <c r="C81">
        <f>ROW(SmtRes!A123)</f>
        <v>123</v>
      </c>
      <c r="D81">
        <f>ROW(EtalonRes!A123)</f>
        <v>123</v>
      </c>
      <c r="E81" t="s">
        <v>182</v>
      </c>
      <c r="F81" t="s">
        <v>183</v>
      </c>
      <c r="G81" t="s">
        <v>184</v>
      </c>
      <c r="H81" t="s">
        <v>41</v>
      </c>
      <c r="I81">
        <f>ROUND(21/100,9)</f>
        <v>0.21</v>
      </c>
      <c r="J81">
        <v>0</v>
      </c>
      <c r="O81">
        <f t="shared" si="69"/>
        <v>13884</v>
      </c>
      <c r="P81">
        <f t="shared" si="70"/>
        <v>6867</v>
      </c>
      <c r="Q81">
        <f t="shared" si="71"/>
        <v>109</v>
      </c>
      <c r="R81">
        <f t="shared" si="72"/>
        <v>86</v>
      </c>
      <c r="S81">
        <f t="shared" si="73"/>
        <v>6908</v>
      </c>
      <c r="T81">
        <f t="shared" si="74"/>
        <v>0</v>
      </c>
      <c r="U81">
        <f t="shared" si="75"/>
        <v>38.560304999999993</v>
      </c>
      <c r="V81">
        <f t="shared" si="76"/>
        <v>0.43312499999999998</v>
      </c>
      <c r="W81">
        <f t="shared" si="77"/>
        <v>0</v>
      </c>
      <c r="X81">
        <f t="shared" si="78"/>
        <v>4616</v>
      </c>
      <c r="Y81">
        <f t="shared" si="79"/>
        <v>2937</v>
      </c>
      <c r="AA81">
        <v>48370320</v>
      </c>
      <c r="AB81">
        <f t="shared" si="80"/>
        <v>10721.96</v>
      </c>
      <c r="AC81">
        <f t="shared" si="81"/>
        <v>9108.5400000000009</v>
      </c>
      <c r="AD81">
        <f>ROUND(((((ET81*1.25))-((EU81*1.25)))+AE81),2)</f>
        <v>37.950000000000003</v>
      </c>
      <c r="AE81">
        <f>ROUND(((EU81*1.25)),2)</f>
        <v>19.61</v>
      </c>
      <c r="AF81">
        <f>ROUND(((EV81*1.15)),2)</f>
        <v>1575.47</v>
      </c>
      <c r="AG81">
        <f t="shared" si="82"/>
        <v>0</v>
      </c>
      <c r="AH81">
        <f>((EW81*1.15))</f>
        <v>183.62049999999996</v>
      </c>
      <c r="AI81">
        <f>((EX81*1.25))</f>
        <v>2.0625</v>
      </c>
      <c r="AJ81">
        <f t="shared" si="83"/>
        <v>0</v>
      </c>
      <c r="AK81">
        <v>10508.87</v>
      </c>
      <c r="AL81">
        <v>9108.5400000000009</v>
      </c>
      <c r="AM81">
        <v>30.36</v>
      </c>
      <c r="AN81">
        <v>15.69</v>
      </c>
      <c r="AO81">
        <v>1369.97</v>
      </c>
      <c r="AP81">
        <v>0</v>
      </c>
      <c r="AQ81">
        <v>159.66999999999999</v>
      </c>
      <c r="AR81">
        <v>1.65</v>
      </c>
      <c r="AS81">
        <v>0</v>
      </c>
      <c r="AT81">
        <v>66</v>
      </c>
      <c r="AU81">
        <v>42</v>
      </c>
      <c r="AV81">
        <v>1</v>
      </c>
      <c r="AW81">
        <v>1</v>
      </c>
      <c r="AZ81">
        <v>1</v>
      </c>
      <c r="BA81">
        <v>20.88</v>
      </c>
      <c r="BB81">
        <v>13.63</v>
      </c>
      <c r="BC81">
        <v>3.59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1</v>
      </c>
      <c r="BJ81" t="s">
        <v>185</v>
      </c>
      <c r="BM81">
        <v>15001</v>
      </c>
      <c r="BN81">
        <v>0</v>
      </c>
      <c r="BO81" t="s">
        <v>183</v>
      </c>
      <c r="BP81">
        <v>1</v>
      </c>
      <c r="BQ81">
        <v>2</v>
      </c>
      <c r="BR81">
        <v>0</v>
      </c>
      <c r="BS81">
        <v>20.88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105</v>
      </c>
      <c r="CA81">
        <v>55</v>
      </c>
      <c r="CF81">
        <v>0</v>
      </c>
      <c r="CG81">
        <v>0</v>
      </c>
      <c r="CM81">
        <v>0</v>
      </c>
      <c r="CN81" t="s">
        <v>937</v>
      </c>
      <c r="CO81">
        <v>0</v>
      </c>
      <c r="CP81">
        <f t="shared" si="84"/>
        <v>13884</v>
      </c>
      <c r="CQ81">
        <f t="shared" si="85"/>
        <v>32699.658600000002</v>
      </c>
      <c r="CR81">
        <f t="shared" si="86"/>
        <v>517.25850000000003</v>
      </c>
      <c r="CS81">
        <f t="shared" si="87"/>
        <v>409.45679999999999</v>
      </c>
      <c r="CT81">
        <f t="shared" si="88"/>
        <v>32895.813600000001</v>
      </c>
      <c r="CU81">
        <f t="shared" si="89"/>
        <v>0</v>
      </c>
      <c r="CV81">
        <f t="shared" si="90"/>
        <v>183.62049999999996</v>
      </c>
      <c r="CW81">
        <f t="shared" si="91"/>
        <v>2.0625</v>
      </c>
      <c r="CX81">
        <f t="shared" si="92"/>
        <v>0</v>
      </c>
      <c r="CY81">
        <f t="shared" si="93"/>
        <v>4616.04</v>
      </c>
      <c r="CZ81">
        <f t="shared" si="94"/>
        <v>2937.48</v>
      </c>
      <c r="DC81" t="s">
        <v>3</v>
      </c>
      <c r="DD81" t="s">
        <v>3</v>
      </c>
      <c r="DE81" t="s">
        <v>160</v>
      </c>
      <c r="DF81" t="s">
        <v>160</v>
      </c>
      <c r="DG81" t="s">
        <v>161</v>
      </c>
      <c r="DH81" t="s">
        <v>3</v>
      </c>
      <c r="DI81" t="s">
        <v>161</v>
      </c>
      <c r="DJ81" t="s">
        <v>160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1013</v>
      </c>
      <c r="DV81" t="s">
        <v>41</v>
      </c>
      <c r="DW81" t="s">
        <v>41</v>
      </c>
      <c r="DX81">
        <v>1</v>
      </c>
      <c r="EE81">
        <v>45269202</v>
      </c>
      <c r="EF81">
        <v>2</v>
      </c>
      <c r="EG81" t="s">
        <v>19</v>
      </c>
      <c r="EH81">
        <v>0</v>
      </c>
      <c r="EI81" t="s">
        <v>3</v>
      </c>
      <c r="EJ81">
        <v>1</v>
      </c>
      <c r="EK81">
        <v>15001</v>
      </c>
      <c r="EL81" t="s">
        <v>157</v>
      </c>
      <c r="EM81" t="s">
        <v>168</v>
      </c>
      <c r="EO81" t="s">
        <v>162</v>
      </c>
      <c r="EQ81">
        <v>0</v>
      </c>
      <c r="ER81">
        <v>10508.87</v>
      </c>
      <c r="ES81">
        <v>9108.5400000000009</v>
      </c>
      <c r="ET81">
        <v>30.36</v>
      </c>
      <c r="EU81">
        <v>15.69</v>
      </c>
      <c r="EV81">
        <v>1369.97</v>
      </c>
      <c r="EW81">
        <v>159.66999999999999</v>
      </c>
      <c r="EX81">
        <v>1.65</v>
      </c>
      <c r="EY81">
        <v>0</v>
      </c>
      <c r="FQ81">
        <v>0</v>
      </c>
      <c r="FR81">
        <f t="shared" si="95"/>
        <v>0</v>
      </c>
      <c r="FS81">
        <v>0</v>
      </c>
      <c r="FT81" t="s">
        <v>22</v>
      </c>
      <c r="FU81" t="s">
        <v>23</v>
      </c>
      <c r="FX81">
        <v>66.150000000000006</v>
      </c>
      <c r="FY81">
        <v>42.075000000000003</v>
      </c>
      <c r="GA81" t="s">
        <v>3</v>
      </c>
      <c r="GD81">
        <v>0</v>
      </c>
      <c r="GF81">
        <v>356860819</v>
      </c>
      <c r="GG81">
        <v>2</v>
      </c>
      <c r="GH81">
        <v>1</v>
      </c>
      <c r="GI81">
        <v>2</v>
      </c>
      <c r="GJ81">
        <v>0</v>
      </c>
      <c r="GK81">
        <f>ROUND(R81*(R12)/100,0)</f>
        <v>0</v>
      </c>
      <c r="GL81">
        <f t="shared" si="96"/>
        <v>0</v>
      </c>
      <c r="GM81">
        <f t="shared" si="97"/>
        <v>21437</v>
      </c>
      <c r="GN81">
        <f t="shared" si="98"/>
        <v>21437</v>
      </c>
      <c r="GO81">
        <f t="shared" si="99"/>
        <v>0</v>
      </c>
      <c r="GP81">
        <f t="shared" si="100"/>
        <v>0</v>
      </c>
      <c r="GR81">
        <v>0</v>
      </c>
      <c r="GS81">
        <v>3</v>
      </c>
      <c r="GT81">
        <v>0</v>
      </c>
      <c r="GU81" t="s">
        <v>3</v>
      </c>
      <c r="GV81">
        <f t="shared" si="101"/>
        <v>0</v>
      </c>
      <c r="GW81">
        <v>1</v>
      </c>
      <c r="GX81">
        <f t="shared" si="102"/>
        <v>0</v>
      </c>
      <c r="HA81">
        <v>0</v>
      </c>
      <c r="HB81">
        <v>0</v>
      </c>
      <c r="IK81">
        <v>0</v>
      </c>
    </row>
    <row r="82" spans="1:245">
      <c r="A82">
        <v>18</v>
      </c>
      <c r="B82">
        <v>1</v>
      </c>
      <c r="C82">
        <v>119</v>
      </c>
      <c r="E82" t="s">
        <v>186</v>
      </c>
      <c r="F82" t="s">
        <v>187</v>
      </c>
      <c r="G82" t="s">
        <v>188</v>
      </c>
      <c r="H82" t="s">
        <v>189</v>
      </c>
      <c r="I82">
        <f>I81*J82</f>
        <v>-21</v>
      </c>
      <c r="J82">
        <v>-100</v>
      </c>
      <c r="O82">
        <f t="shared" si="69"/>
        <v>-5398</v>
      </c>
      <c r="P82">
        <f t="shared" si="70"/>
        <v>-5398</v>
      </c>
      <c r="Q82">
        <f t="shared" si="71"/>
        <v>0</v>
      </c>
      <c r="R82">
        <f t="shared" si="72"/>
        <v>0</v>
      </c>
      <c r="S82">
        <f t="shared" si="73"/>
        <v>0</v>
      </c>
      <c r="T82">
        <f t="shared" si="74"/>
        <v>0</v>
      </c>
      <c r="U82">
        <f t="shared" si="75"/>
        <v>0</v>
      </c>
      <c r="V82">
        <f t="shared" si="76"/>
        <v>0</v>
      </c>
      <c r="W82">
        <f t="shared" si="77"/>
        <v>0</v>
      </c>
      <c r="X82">
        <f t="shared" si="78"/>
        <v>0</v>
      </c>
      <c r="Y82">
        <f t="shared" si="79"/>
        <v>0</v>
      </c>
      <c r="AA82">
        <v>48370320</v>
      </c>
      <c r="AB82">
        <f t="shared" si="80"/>
        <v>68</v>
      </c>
      <c r="AC82">
        <f t="shared" si="81"/>
        <v>68</v>
      </c>
      <c r="AD82">
        <f>ROUND((((ET82)-(EU82))+AE82),2)</f>
        <v>0</v>
      </c>
      <c r="AE82">
        <f>ROUND((EU82),2)</f>
        <v>0</v>
      </c>
      <c r="AF82">
        <f>ROUND((EV82),2)</f>
        <v>0</v>
      </c>
      <c r="AG82">
        <f t="shared" si="82"/>
        <v>0</v>
      </c>
      <c r="AH82">
        <f>(EW82)</f>
        <v>0</v>
      </c>
      <c r="AI82">
        <f>(EX82)</f>
        <v>0</v>
      </c>
      <c r="AJ82">
        <f t="shared" si="83"/>
        <v>0</v>
      </c>
      <c r="AK82">
        <v>68</v>
      </c>
      <c r="AL82">
        <v>68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66</v>
      </c>
      <c r="AU82">
        <v>42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3.78</v>
      </c>
      <c r="BD82" t="s">
        <v>3</v>
      </c>
      <c r="BE82" t="s">
        <v>3</v>
      </c>
      <c r="BF82" t="s">
        <v>3</v>
      </c>
      <c r="BG82" t="s">
        <v>3</v>
      </c>
      <c r="BH82">
        <v>3</v>
      </c>
      <c r="BI82">
        <v>1</v>
      </c>
      <c r="BJ82" t="s">
        <v>190</v>
      </c>
      <c r="BM82">
        <v>15001</v>
      </c>
      <c r="BN82">
        <v>0</v>
      </c>
      <c r="BO82" t="s">
        <v>187</v>
      </c>
      <c r="BP82">
        <v>1</v>
      </c>
      <c r="BQ82">
        <v>2</v>
      </c>
      <c r="BR82">
        <v>1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105</v>
      </c>
      <c r="CA82">
        <v>55</v>
      </c>
      <c r="CF82">
        <v>0</v>
      </c>
      <c r="CG82">
        <v>0</v>
      </c>
      <c r="CM82">
        <v>0</v>
      </c>
      <c r="CN82" t="s">
        <v>3</v>
      </c>
      <c r="CO82">
        <v>0</v>
      </c>
      <c r="CP82">
        <f t="shared" si="84"/>
        <v>-5398</v>
      </c>
      <c r="CQ82">
        <f t="shared" si="85"/>
        <v>257.03999999999996</v>
      </c>
      <c r="CR82">
        <f t="shared" si="86"/>
        <v>0</v>
      </c>
      <c r="CS82">
        <f t="shared" si="87"/>
        <v>0</v>
      </c>
      <c r="CT82">
        <f t="shared" si="88"/>
        <v>0</v>
      </c>
      <c r="CU82">
        <f t="shared" si="89"/>
        <v>0</v>
      </c>
      <c r="CV82">
        <f t="shared" si="90"/>
        <v>0</v>
      </c>
      <c r="CW82">
        <f t="shared" si="91"/>
        <v>0</v>
      </c>
      <c r="CX82">
        <f t="shared" si="92"/>
        <v>0</v>
      </c>
      <c r="CY82">
        <f t="shared" si="93"/>
        <v>0</v>
      </c>
      <c r="CZ82">
        <f t="shared" si="94"/>
        <v>0</v>
      </c>
      <c r="DC82" t="s">
        <v>3</v>
      </c>
      <c r="DD82" t="s">
        <v>3</v>
      </c>
      <c r="DE82" t="s">
        <v>3</v>
      </c>
      <c r="DF82" t="s">
        <v>3</v>
      </c>
      <c r="DG82" t="s">
        <v>3</v>
      </c>
      <c r="DH82" t="s">
        <v>3</v>
      </c>
      <c r="DI82" t="s">
        <v>3</v>
      </c>
      <c r="DJ82" t="s">
        <v>3</v>
      </c>
      <c r="DK82" t="s">
        <v>3</v>
      </c>
      <c r="DL82" t="s">
        <v>3</v>
      </c>
      <c r="DM82" t="s">
        <v>3</v>
      </c>
      <c r="DN82">
        <v>0</v>
      </c>
      <c r="DO82">
        <v>0</v>
      </c>
      <c r="DP82">
        <v>1</v>
      </c>
      <c r="DQ82">
        <v>1</v>
      </c>
      <c r="DU82">
        <v>1005</v>
      </c>
      <c r="DV82" t="s">
        <v>189</v>
      </c>
      <c r="DW82" t="s">
        <v>189</v>
      </c>
      <c r="DX82">
        <v>1</v>
      </c>
      <c r="EE82">
        <v>45269202</v>
      </c>
      <c r="EF82">
        <v>2</v>
      </c>
      <c r="EG82" t="s">
        <v>19</v>
      </c>
      <c r="EH82">
        <v>0</v>
      </c>
      <c r="EI82" t="s">
        <v>3</v>
      </c>
      <c r="EJ82">
        <v>1</v>
      </c>
      <c r="EK82">
        <v>15001</v>
      </c>
      <c r="EL82" t="s">
        <v>157</v>
      </c>
      <c r="EM82" t="s">
        <v>168</v>
      </c>
      <c r="EO82" t="s">
        <v>3</v>
      </c>
      <c r="EQ82">
        <v>0</v>
      </c>
      <c r="ER82">
        <v>68</v>
      </c>
      <c r="ES82">
        <v>68</v>
      </c>
      <c r="ET82">
        <v>0</v>
      </c>
      <c r="EU82">
        <v>0</v>
      </c>
      <c r="EV82">
        <v>0</v>
      </c>
      <c r="EW82">
        <v>0</v>
      </c>
      <c r="EX82">
        <v>0</v>
      </c>
      <c r="FQ82">
        <v>0</v>
      </c>
      <c r="FR82">
        <f t="shared" si="95"/>
        <v>0</v>
      </c>
      <c r="FS82">
        <v>0</v>
      </c>
      <c r="FT82" t="s">
        <v>22</v>
      </c>
      <c r="FU82" t="s">
        <v>23</v>
      </c>
      <c r="FX82">
        <v>66.150000000000006</v>
      </c>
      <c r="FY82">
        <v>42.075000000000003</v>
      </c>
      <c r="GA82" t="s">
        <v>3</v>
      </c>
      <c r="GD82">
        <v>0</v>
      </c>
      <c r="GF82">
        <v>-1026179426</v>
      </c>
      <c r="GG82">
        <v>2</v>
      </c>
      <c r="GH82">
        <v>1</v>
      </c>
      <c r="GI82">
        <v>2</v>
      </c>
      <c r="GJ82">
        <v>0</v>
      </c>
      <c r="GK82">
        <f>ROUND(R82*(R12)/100,0)</f>
        <v>0</v>
      </c>
      <c r="GL82">
        <f t="shared" si="96"/>
        <v>0</v>
      </c>
      <c r="GM82">
        <f t="shared" si="97"/>
        <v>-5398</v>
      </c>
      <c r="GN82">
        <f t="shared" si="98"/>
        <v>-5398</v>
      </c>
      <c r="GO82">
        <f t="shared" si="99"/>
        <v>0</v>
      </c>
      <c r="GP82">
        <f t="shared" si="100"/>
        <v>0</v>
      </c>
      <c r="GR82">
        <v>0</v>
      </c>
      <c r="GS82">
        <v>3</v>
      </c>
      <c r="GT82">
        <v>0</v>
      </c>
      <c r="GU82" t="s">
        <v>3</v>
      </c>
      <c r="GV82">
        <f t="shared" si="101"/>
        <v>0</v>
      </c>
      <c r="GW82">
        <v>1</v>
      </c>
      <c r="GX82">
        <f t="shared" si="102"/>
        <v>0</v>
      </c>
      <c r="HA82">
        <v>0</v>
      </c>
      <c r="HB82">
        <v>0</v>
      </c>
      <c r="IK82">
        <v>0</v>
      </c>
    </row>
    <row r="83" spans="1:245">
      <c r="A83">
        <v>17</v>
      </c>
      <c r="B83">
        <v>1</v>
      </c>
      <c r="E83" t="s">
        <v>191</v>
      </c>
      <c r="F83" t="s">
        <v>192</v>
      </c>
      <c r="G83" t="s">
        <v>193</v>
      </c>
      <c r="H83" t="s">
        <v>189</v>
      </c>
      <c r="I83">
        <v>21</v>
      </c>
      <c r="J83">
        <v>0</v>
      </c>
      <c r="O83">
        <f t="shared" si="69"/>
        <v>8272</v>
      </c>
      <c r="P83">
        <f t="shared" si="70"/>
        <v>8272</v>
      </c>
      <c r="Q83">
        <f t="shared" si="71"/>
        <v>0</v>
      </c>
      <c r="R83">
        <f t="shared" si="72"/>
        <v>0</v>
      </c>
      <c r="S83">
        <f t="shared" si="73"/>
        <v>0</v>
      </c>
      <c r="T83">
        <f t="shared" si="74"/>
        <v>0</v>
      </c>
      <c r="U83">
        <f t="shared" si="75"/>
        <v>0</v>
      </c>
      <c r="V83">
        <f t="shared" si="76"/>
        <v>0</v>
      </c>
      <c r="W83">
        <f t="shared" si="77"/>
        <v>0</v>
      </c>
      <c r="X83">
        <f t="shared" si="78"/>
        <v>0</v>
      </c>
      <c r="Y83">
        <f t="shared" si="79"/>
        <v>0</v>
      </c>
      <c r="AA83">
        <v>48370320</v>
      </c>
      <c r="AB83">
        <f t="shared" si="80"/>
        <v>110.96</v>
      </c>
      <c r="AC83">
        <f t="shared" si="81"/>
        <v>110.96</v>
      </c>
      <c r="AD83">
        <f>ROUND((((ET83)-(EU83))+AE83),2)</f>
        <v>0</v>
      </c>
      <c r="AE83">
        <f>ROUND((EU83),2)</f>
        <v>0</v>
      </c>
      <c r="AF83">
        <f>ROUND((EV83),2)</f>
        <v>0</v>
      </c>
      <c r="AG83">
        <f t="shared" si="82"/>
        <v>0</v>
      </c>
      <c r="AH83">
        <f>(EW83)</f>
        <v>0</v>
      </c>
      <c r="AI83">
        <f>(EX83)</f>
        <v>0</v>
      </c>
      <c r="AJ83">
        <f t="shared" si="83"/>
        <v>0</v>
      </c>
      <c r="AK83">
        <v>110.96</v>
      </c>
      <c r="AL83">
        <v>110.96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3.55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194</v>
      </c>
      <c r="BM83">
        <v>500001</v>
      </c>
      <c r="BN83">
        <v>0</v>
      </c>
      <c r="BO83" t="s">
        <v>192</v>
      </c>
      <c r="BP83">
        <v>1</v>
      </c>
      <c r="BQ83">
        <v>8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84"/>
        <v>8272</v>
      </c>
      <c r="CQ83">
        <f t="shared" si="85"/>
        <v>393.90799999999996</v>
      </c>
      <c r="CR83">
        <f t="shared" si="86"/>
        <v>0</v>
      </c>
      <c r="CS83">
        <f t="shared" si="87"/>
        <v>0</v>
      </c>
      <c r="CT83">
        <f t="shared" si="88"/>
        <v>0</v>
      </c>
      <c r="CU83">
        <f t="shared" si="89"/>
        <v>0</v>
      </c>
      <c r="CV83">
        <f t="shared" si="90"/>
        <v>0</v>
      </c>
      <c r="CW83">
        <f t="shared" si="91"/>
        <v>0</v>
      </c>
      <c r="CX83">
        <f t="shared" si="92"/>
        <v>0</v>
      </c>
      <c r="CY83">
        <f t="shared" si="93"/>
        <v>0</v>
      </c>
      <c r="CZ83">
        <f t="shared" si="94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1005</v>
      </c>
      <c r="DV83" t="s">
        <v>189</v>
      </c>
      <c r="DW83" t="s">
        <v>189</v>
      </c>
      <c r="DX83">
        <v>1</v>
      </c>
      <c r="EE83">
        <v>45269109</v>
      </c>
      <c r="EF83">
        <v>8</v>
      </c>
      <c r="EG83" t="s">
        <v>174</v>
      </c>
      <c r="EH83">
        <v>0</v>
      </c>
      <c r="EI83" t="s">
        <v>3</v>
      </c>
      <c r="EJ83">
        <v>1</v>
      </c>
      <c r="EK83">
        <v>500001</v>
      </c>
      <c r="EL83" t="s">
        <v>175</v>
      </c>
      <c r="EM83" t="s">
        <v>176</v>
      </c>
      <c r="EO83" t="s">
        <v>3</v>
      </c>
      <c r="EQ83">
        <v>0</v>
      </c>
      <c r="ER83">
        <v>110.96</v>
      </c>
      <c r="ES83">
        <v>110.96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FQ83">
        <v>0</v>
      </c>
      <c r="FR83">
        <f t="shared" si="95"/>
        <v>0</v>
      </c>
      <c r="FS83">
        <v>0</v>
      </c>
      <c r="FX83">
        <v>0</v>
      </c>
      <c r="FY83">
        <v>0</v>
      </c>
      <c r="GA83" t="s">
        <v>3</v>
      </c>
      <c r="GD83">
        <v>0</v>
      </c>
      <c r="GF83">
        <v>1498426133</v>
      </c>
      <c r="GG83">
        <v>2</v>
      </c>
      <c r="GH83">
        <v>1</v>
      </c>
      <c r="GI83">
        <v>2</v>
      </c>
      <c r="GJ83">
        <v>0</v>
      </c>
      <c r="GK83">
        <f>ROUND(R83*(R12)/100,0)</f>
        <v>0</v>
      </c>
      <c r="GL83">
        <f t="shared" si="96"/>
        <v>0</v>
      </c>
      <c r="GM83">
        <f t="shared" si="97"/>
        <v>8272</v>
      </c>
      <c r="GN83">
        <f t="shared" si="98"/>
        <v>8272</v>
      </c>
      <c r="GO83">
        <f t="shared" si="99"/>
        <v>0</v>
      </c>
      <c r="GP83">
        <f t="shared" si="100"/>
        <v>0</v>
      </c>
      <c r="GR83">
        <v>0</v>
      </c>
      <c r="GS83">
        <v>3</v>
      </c>
      <c r="GT83">
        <v>0</v>
      </c>
      <c r="GU83" t="s">
        <v>3</v>
      </c>
      <c r="GV83">
        <f t="shared" si="101"/>
        <v>0</v>
      </c>
      <c r="GW83">
        <v>1</v>
      </c>
      <c r="GX83">
        <f t="shared" si="102"/>
        <v>0</v>
      </c>
      <c r="HA83">
        <v>0</v>
      </c>
      <c r="HB83">
        <v>0</v>
      </c>
      <c r="IK83">
        <v>0</v>
      </c>
    </row>
    <row r="84" spans="1:245">
      <c r="A84">
        <v>17</v>
      </c>
      <c r="B84">
        <v>1</v>
      </c>
      <c r="C84">
        <f>ROW(SmtRes!A136)</f>
        <v>136</v>
      </c>
      <c r="D84">
        <f>ROW(EtalonRes!A136)</f>
        <v>136</v>
      </c>
      <c r="E84" t="s">
        <v>195</v>
      </c>
      <c r="F84" t="s">
        <v>196</v>
      </c>
      <c r="G84" t="s">
        <v>197</v>
      </c>
      <c r="H84" t="s">
        <v>48</v>
      </c>
      <c r="I84">
        <f>ROUND(4.04/100,9)</f>
        <v>4.0399999999999998E-2</v>
      </c>
      <c r="J84">
        <v>0</v>
      </c>
      <c r="O84">
        <f t="shared" si="69"/>
        <v>4966</v>
      </c>
      <c r="P84">
        <f t="shared" si="70"/>
        <v>2487</v>
      </c>
      <c r="Q84">
        <f t="shared" si="71"/>
        <v>19</v>
      </c>
      <c r="R84">
        <f t="shared" si="72"/>
        <v>16</v>
      </c>
      <c r="S84">
        <f t="shared" si="73"/>
        <v>2460</v>
      </c>
      <c r="T84">
        <f t="shared" si="74"/>
        <v>0</v>
      </c>
      <c r="U84">
        <f t="shared" si="75"/>
        <v>14.4221132</v>
      </c>
      <c r="V84">
        <f t="shared" si="76"/>
        <v>8.6859999999999993E-2</v>
      </c>
      <c r="W84">
        <f t="shared" si="77"/>
        <v>0</v>
      </c>
      <c r="X84">
        <f t="shared" si="78"/>
        <v>1907</v>
      </c>
      <c r="Y84">
        <f t="shared" si="79"/>
        <v>1411</v>
      </c>
      <c r="AA84">
        <v>48370320</v>
      </c>
      <c r="AB84">
        <f t="shared" si="80"/>
        <v>22063.29</v>
      </c>
      <c r="AC84">
        <f t="shared" si="81"/>
        <v>19117.169999999998</v>
      </c>
      <c r="AD84">
        <f>ROUND(((((ET84*1.25))-((EU84*1.25)))+AE84),2)</f>
        <v>29.57</v>
      </c>
      <c r="AE84">
        <f>ROUND(((EU84*1.25)),2)</f>
        <v>19.440000000000001</v>
      </c>
      <c r="AF84">
        <f>ROUND(((EV84*1.15)),2)</f>
        <v>2916.55</v>
      </c>
      <c r="AG84">
        <f t="shared" si="82"/>
        <v>0</v>
      </c>
      <c r="AH84">
        <f>((EW84*1.15))</f>
        <v>356.983</v>
      </c>
      <c r="AI84">
        <f>((EX84*1.25))</f>
        <v>2.15</v>
      </c>
      <c r="AJ84">
        <f t="shared" si="83"/>
        <v>0</v>
      </c>
      <c r="AK84">
        <v>21676.95</v>
      </c>
      <c r="AL84">
        <v>19117.169999999998</v>
      </c>
      <c r="AM84">
        <v>23.65</v>
      </c>
      <c r="AN84">
        <v>15.55</v>
      </c>
      <c r="AO84">
        <v>2536.13</v>
      </c>
      <c r="AP84">
        <v>0</v>
      </c>
      <c r="AQ84">
        <v>310.42</v>
      </c>
      <c r="AR84">
        <v>1.72</v>
      </c>
      <c r="AS84">
        <v>0</v>
      </c>
      <c r="AT84">
        <v>77</v>
      </c>
      <c r="AU84">
        <v>57</v>
      </c>
      <c r="AV84">
        <v>1</v>
      </c>
      <c r="AW84">
        <v>1</v>
      </c>
      <c r="AZ84">
        <v>1</v>
      </c>
      <c r="BA84">
        <v>20.88</v>
      </c>
      <c r="BB84">
        <v>16.059999999999999</v>
      </c>
      <c r="BC84">
        <v>3.22</v>
      </c>
      <c r="BD84" t="s">
        <v>3</v>
      </c>
      <c r="BE84" t="s">
        <v>3</v>
      </c>
      <c r="BF84" t="s">
        <v>3</v>
      </c>
      <c r="BG84" t="s">
        <v>3</v>
      </c>
      <c r="BH84">
        <v>0</v>
      </c>
      <c r="BI84">
        <v>1</v>
      </c>
      <c r="BJ84" t="s">
        <v>198</v>
      </c>
      <c r="BM84">
        <v>11001</v>
      </c>
      <c r="BN84">
        <v>0</v>
      </c>
      <c r="BO84" t="s">
        <v>196</v>
      </c>
      <c r="BP84">
        <v>1</v>
      </c>
      <c r="BQ84">
        <v>2</v>
      </c>
      <c r="BR84">
        <v>0</v>
      </c>
      <c r="BS84">
        <v>20.88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123</v>
      </c>
      <c r="CA84">
        <v>75</v>
      </c>
      <c r="CF84">
        <v>0</v>
      </c>
      <c r="CG84">
        <v>0</v>
      </c>
      <c r="CM84">
        <v>0</v>
      </c>
      <c r="CN84" t="s">
        <v>937</v>
      </c>
      <c r="CO84">
        <v>0</v>
      </c>
      <c r="CP84">
        <f t="shared" si="84"/>
        <v>4966</v>
      </c>
      <c r="CQ84">
        <f t="shared" si="85"/>
        <v>61557.287400000001</v>
      </c>
      <c r="CR84">
        <f t="shared" si="86"/>
        <v>474.89419999999996</v>
      </c>
      <c r="CS84">
        <f t="shared" si="87"/>
        <v>405.90719999999999</v>
      </c>
      <c r="CT84">
        <f t="shared" si="88"/>
        <v>60897.563999999998</v>
      </c>
      <c r="CU84">
        <f t="shared" si="89"/>
        <v>0</v>
      </c>
      <c r="CV84">
        <f t="shared" si="90"/>
        <v>356.983</v>
      </c>
      <c r="CW84">
        <f t="shared" si="91"/>
        <v>2.15</v>
      </c>
      <c r="CX84">
        <f t="shared" si="92"/>
        <v>0</v>
      </c>
      <c r="CY84">
        <f t="shared" si="93"/>
        <v>1906.52</v>
      </c>
      <c r="CZ84">
        <f t="shared" si="94"/>
        <v>1411.32</v>
      </c>
      <c r="DC84" t="s">
        <v>3</v>
      </c>
      <c r="DD84" t="s">
        <v>3</v>
      </c>
      <c r="DE84" t="s">
        <v>160</v>
      </c>
      <c r="DF84" t="s">
        <v>160</v>
      </c>
      <c r="DG84" t="s">
        <v>161</v>
      </c>
      <c r="DH84" t="s">
        <v>3</v>
      </c>
      <c r="DI84" t="s">
        <v>161</v>
      </c>
      <c r="DJ84" t="s">
        <v>160</v>
      </c>
      <c r="DK84" t="s">
        <v>3</v>
      </c>
      <c r="DL84" t="s">
        <v>3</v>
      </c>
      <c r="DM84" t="s">
        <v>3</v>
      </c>
      <c r="DN84">
        <v>0</v>
      </c>
      <c r="DO84">
        <v>0</v>
      </c>
      <c r="DP84">
        <v>1</v>
      </c>
      <c r="DQ84">
        <v>1</v>
      </c>
      <c r="DU84">
        <v>1013</v>
      </c>
      <c r="DV84" t="s">
        <v>48</v>
      </c>
      <c r="DW84" t="s">
        <v>48</v>
      </c>
      <c r="DX84">
        <v>1</v>
      </c>
      <c r="EE84">
        <v>45269177</v>
      </c>
      <c r="EF84">
        <v>2</v>
      </c>
      <c r="EG84" t="s">
        <v>19</v>
      </c>
      <c r="EH84">
        <v>0</v>
      </c>
      <c r="EI84" t="s">
        <v>3</v>
      </c>
      <c r="EJ84">
        <v>1</v>
      </c>
      <c r="EK84">
        <v>11001</v>
      </c>
      <c r="EL84" t="s">
        <v>50</v>
      </c>
      <c r="EM84" t="s">
        <v>199</v>
      </c>
      <c r="EO84" t="s">
        <v>162</v>
      </c>
      <c r="EQ84">
        <v>0</v>
      </c>
      <c r="ER84">
        <v>21676.95</v>
      </c>
      <c r="ES84">
        <v>19117.169999999998</v>
      </c>
      <c r="ET84">
        <v>23.65</v>
      </c>
      <c r="EU84">
        <v>15.55</v>
      </c>
      <c r="EV84">
        <v>2536.13</v>
      </c>
      <c r="EW84">
        <v>310.42</v>
      </c>
      <c r="EX84">
        <v>1.72</v>
      </c>
      <c r="EY84">
        <v>0</v>
      </c>
      <c r="FQ84">
        <v>0</v>
      </c>
      <c r="FR84">
        <f t="shared" si="95"/>
        <v>0</v>
      </c>
      <c r="FS84">
        <v>0</v>
      </c>
      <c r="FT84" t="s">
        <v>22</v>
      </c>
      <c r="FU84" t="s">
        <v>23</v>
      </c>
      <c r="FX84">
        <v>77.489999999999995</v>
      </c>
      <c r="FY84">
        <v>57.375</v>
      </c>
      <c r="GA84" t="s">
        <v>3</v>
      </c>
      <c r="GD84">
        <v>0</v>
      </c>
      <c r="GF84">
        <v>-2086405919</v>
      </c>
      <c r="GG84">
        <v>2</v>
      </c>
      <c r="GH84">
        <v>1</v>
      </c>
      <c r="GI84">
        <v>2</v>
      </c>
      <c r="GJ84">
        <v>0</v>
      </c>
      <c r="GK84">
        <f>ROUND(R84*(R12)/100,0)</f>
        <v>0</v>
      </c>
      <c r="GL84">
        <f t="shared" si="96"/>
        <v>0</v>
      </c>
      <c r="GM84">
        <f t="shared" si="97"/>
        <v>8284</v>
      </c>
      <c r="GN84">
        <f t="shared" si="98"/>
        <v>8284</v>
      </c>
      <c r="GO84">
        <f t="shared" si="99"/>
        <v>0</v>
      </c>
      <c r="GP84">
        <f t="shared" si="100"/>
        <v>0</v>
      </c>
      <c r="GR84">
        <v>0</v>
      </c>
      <c r="GS84">
        <v>3</v>
      </c>
      <c r="GT84">
        <v>0</v>
      </c>
      <c r="GU84" t="s">
        <v>3</v>
      </c>
      <c r="GV84">
        <f t="shared" si="101"/>
        <v>0</v>
      </c>
      <c r="GW84">
        <v>1</v>
      </c>
      <c r="GX84">
        <f t="shared" si="102"/>
        <v>0</v>
      </c>
      <c r="HA84">
        <v>0</v>
      </c>
      <c r="HB84">
        <v>0</v>
      </c>
      <c r="IK84">
        <v>0</v>
      </c>
    </row>
    <row r="85" spans="1:245">
      <c r="A85">
        <v>17</v>
      </c>
      <c r="B85">
        <v>1</v>
      </c>
      <c r="E85" t="s">
        <v>200</v>
      </c>
      <c r="F85" t="s">
        <v>170</v>
      </c>
      <c r="G85" t="s">
        <v>171</v>
      </c>
      <c r="H85" t="s">
        <v>172</v>
      </c>
      <c r="I85">
        <v>0.52</v>
      </c>
      <c r="J85">
        <v>0</v>
      </c>
      <c r="O85">
        <f t="shared" si="69"/>
        <v>48</v>
      </c>
      <c r="P85">
        <f t="shared" si="70"/>
        <v>48</v>
      </c>
      <c r="Q85">
        <f t="shared" si="71"/>
        <v>0</v>
      </c>
      <c r="R85">
        <f t="shared" si="72"/>
        <v>0</v>
      </c>
      <c r="S85">
        <f t="shared" si="73"/>
        <v>0</v>
      </c>
      <c r="T85">
        <f t="shared" si="74"/>
        <v>0</v>
      </c>
      <c r="U85">
        <f t="shared" si="75"/>
        <v>0</v>
      </c>
      <c r="V85">
        <f t="shared" si="76"/>
        <v>0</v>
      </c>
      <c r="W85">
        <f t="shared" si="77"/>
        <v>0</v>
      </c>
      <c r="X85">
        <f t="shared" si="78"/>
        <v>0</v>
      </c>
      <c r="Y85">
        <f t="shared" si="79"/>
        <v>0</v>
      </c>
      <c r="AA85">
        <v>48370320</v>
      </c>
      <c r="AB85">
        <f t="shared" si="80"/>
        <v>22.1</v>
      </c>
      <c r="AC85">
        <f t="shared" si="81"/>
        <v>22.1</v>
      </c>
      <c r="AD85">
        <f>ROUND((((ET85)-(EU85))+AE85),2)</f>
        <v>0</v>
      </c>
      <c r="AE85">
        <f>ROUND((EU85),2)</f>
        <v>0</v>
      </c>
      <c r="AF85">
        <f>ROUND((EV85),2)</f>
        <v>0</v>
      </c>
      <c r="AG85">
        <f t="shared" si="82"/>
        <v>0</v>
      </c>
      <c r="AH85">
        <f>(EW85)</f>
        <v>0</v>
      </c>
      <c r="AI85">
        <f>(EX85)</f>
        <v>0</v>
      </c>
      <c r="AJ85">
        <f t="shared" si="83"/>
        <v>0</v>
      </c>
      <c r="AK85">
        <v>22.1</v>
      </c>
      <c r="AL85">
        <v>22.1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4.21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173</v>
      </c>
      <c r="BM85">
        <v>500001</v>
      </c>
      <c r="BN85">
        <v>0</v>
      </c>
      <c r="BO85" t="s">
        <v>170</v>
      </c>
      <c r="BP85">
        <v>1</v>
      </c>
      <c r="BQ85">
        <v>8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84"/>
        <v>48</v>
      </c>
      <c r="CQ85">
        <f t="shared" si="85"/>
        <v>93.041000000000011</v>
      </c>
      <c r="CR85">
        <f t="shared" si="86"/>
        <v>0</v>
      </c>
      <c r="CS85">
        <f t="shared" si="87"/>
        <v>0</v>
      </c>
      <c r="CT85">
        <f t="shared" si="88"/>
        <v>0</v>
      </c>
      <c r="CU85">
        <f t="shared" si="89"/>
        <v>0</v>
      </c>
      <c r="CV85">
        <f t="shared" si="90"/>
        <v>0</v>
      </c>
      <c r="CW85">
        <f t="shared" si="91"/>
        <v>0</v>
      </c>
      <c r="CX85">
        <f t="shared" si="92"/>
        <v>0</v>
      </c>
      <c r="CY85">
        <f t="shared" si="93"/>
        <v>0</v>
      </c>
      <c r="CZ85">
        <f t="shared" si="94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172</v>
      </c>
      <c r="DW85" t="s">
        <v>172</v>
      </c>
      <c r="DX85">
        <v>1</v>
      </c>
      <c r="EE85">
        <v>45269109</v>
      </c>
      <c r="EF85">
        <v>8</v>
      </c>
      <c r="EG85" t="s">
        <v>174</v>
      </c>
      <c r="EH85">
        <v>0</v>
      </c>
      <c r="EI85" t="s">
        <v>3</v>
      </c>
      <c r="EJ85">
        <v>1</v>
      </c>
      <c r="EK85">
        <v>500001</v>
      </c>
      <c r="EL85" t="s">
        <v>175</v>
      </c>
      <c r="EM85" t="s">
        <v>176</v>
      </c>
      <c r="EO85" t="s">
        <v>3</v>
      </c>
      <c r="EQ85">
        <v>0</v>
      </c>
      <c r="ER85">
        <v>22.1</v>
      </c>
      <c r="ES85">
        <v>22.1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FQ85">
        <v>0</v>
      </c>
      <c r="FR85">
        <f t="shared" si="95"/>
        <v>0</v>
      </c>
      <c r="FS85">
        <v>0</v>
      </c>
      <c r="FX85">
        <v>0</v>
      </c>
      <c r="FY85">
        <v>0</v>
      </c>
      <c r="GA85" t="s">
        <v>3</v>
      </c>
      <c r="GD85">
        <v>0</v>
      </c>
      <c r="GF85">
        <v>2081603469</v>
      </c>
      <c r="GG85">
        <v>2</v>
      </c>
      <c r="GH85">
        <v>1</v>
      </c>
      <c r="GI85">
        <v>2</v>
      </c>
      <c r="GJ85">
        <v>0</v>
      </c>
      <c r="GK85">
        <f>ROUND(R85*(R12)/100,0)</f>
        <v>0</v>
      </c>
      <c r="GL85">
        <f t="shared" si="96"/>
        <v>0</v>
      </c>
      <c r="GM85">
        <f t="shared" si="97"/>
        <v>48</v>
      </c>
      <c r="GN85">
        <f t="shared" si="98"/>
        <v>48</v>
      </c>
      <c r="GO85">
        <f t="shared" si="99"/>
        <v>0</v>
      </c>
      <c r="GP85">
        <f t="shared" si="100"/>
        <v>0</v>
      </c>
      <c r="GR85">
        <v>0</v>
      </c>
      <c r="GS85">
        <v>3</v>
      </c>
      <c r="GT85">
        <v>0</v>
      </c>
      <c r="GU85" t="s">
        <v>3</v>
      </c>
      <c r="GV85">
        <f t="shared" si="101"/>
        <v>0</v>
      </c>
      <c r="GW85">
        <v>1</v>
      </c>
      <c r="GX85">
        <f t="shared" si="102"/>
        <v>0</v>
      </c>
      <c r="HA85">
        <v>0</v>
      </c>
      <c r="HB85">
        <v>0</v>
      </c>
      <c r="IK85">
        <v>0</v>
      </c>
    </row>
    <row r="86" spans="1:245">
      <c r="A86">
        <v>17</v>
      </c>
      <c r="B86">
        <v>1</v>
      </c>
      <c r="C86">
        <f>ROW(SmtRes!A145)</f>
        <v>145</v>
      </c>
      <c r="D86">
        <f>ROW(EtalonRes!A146)</f>
        <v>146</v>
      </c>
      <c r="E86" t="s">
        <v>201</v>
      </c>
      <c r="F86" t="s">
        <v>202</v>
      </c>
      <c r="G86" t="s">
        <v>203</v>
      </c>
      <c r="H86" t="s">
        <v>41</v>
      </c>
      <c r="I86">
        <f>ROUND(3.94/100,9)</f>
        <v>3.9399999999999998E-2</v>
      </c>
      <c r="J86">
        <v>0</v>
      </c>
      <c r="O86">
        <f t="shared" si="69"/>
        <v>6208</v>
      </c>
      <c r="P86">
        <f t="shared" si="70"/>
        <v>5264</v>
      </c>
      <c r="Q86">
        <f t="shared" si="71"/>
        <v>43</v>
      </c>
      <c r="R86">
        <f t="shared" si="72"/>
        <v>3</v>
      </c>
      <c r="S86">
        <f t="shared" si="73"/>
        <v>901</v>
      </c>
      <c r="T86">
        <f t="shared" si="74"/>
        <v>0</v>
      </c>
      <c r="U86">
        <f t="shared" si="75"/>
        <v>4.9097915999999993</v>
      </c>
      <c r="V86">
        <f t="shared" si="76"/>
        <v>1.2312499999999999E-2</v>
      </c>
      <c r="W86">
        <f t="shared" si="77"/>
        <v>0</v>
      </c>
      <c r="X86">
        <f t="shared" si="78"/>
        <v>597</v>
      </c>
      <c r="Y86">
        <f t="shared" si="79"/>
        <v>380</v>
      </c>
      <c r="AA86">
        <v>48370320</v>
      </c>
      <c r="AB86">
        <f t="shared" si="80"/>
        <v>29975.39</v>
      </c>
      <c r="AC86">
        <f t="shared" si="81"/>
        <v>28671.7</v>
      </c>
      <c r="AD86">
        <f>ROUND(((((ET86*1.25))-((EU86*1.25)))+AE86),2)</f>
        <v>208.34</v>
      </c>
      <c r="AE86">
        <f>ROUND(((EU86*1.25)),2)</f>
        <v>3.79</v>
      </c>
      <c r="AF86">
        <f>ROUND(((EV86*1.15)),2)</f>
        <v>1095.3499999999999</v>
      </c>
      <c r="AG86">
        <f t="shared" si="82"/>
        <v>0</v>
      </c>
      <c r="AH86">
        <f>((EW86*1.15))</f>
        <v>124.61399999999999</v>
      </c>
      <c r="AI86">
        <f>((EX86*1.25))</f>
        <v>0.3125</v>
      </c>
      <c r="AJ86">
        <f t="shared" si="83"/>
        <v>0</v>
      </c>
      <c r="AK86">
        <v>29790.85</v>
      </c>
      <c r="AL86">
        <v>28671.7</v>
      </c>
      <c r="AM86">
        <v>166.67</v>
      </c>
      <c r="AN86">
        <v>3.03</v>
      </c>
      <c r="AO86">
        <v>952.48</v>
      </c>
      <c r="AP86">
        <v>0</v>
      </c>
      <c r="AQ86">
        <v>108.36</v>
      </c>
      <c r="AR86">
        <v>0.25</v>
      </c>
      <c r="AS86">
        <v>0</v>
      </c>
      <c r="AT86">
        <v>66</v>
      </c>
      <c r="AU86">
        <v>42</v>
      </c>
      <c r="AV86">
        <v>1</v>
      </c>
      <c r="AW86">
        <v>1</v>
      </c>
      <c r="AZ86">
        <v>1</v>
      </c>
      <c r="BA86">
        <v>20.88</v>
      </c>
      <c r="BB86">
        <v>5.21</v>
      </c>
      <c r="BC86">
        <v>4.66</v>
      </c>
      <c r="BD86" t="s">
        <v>3</v>
      </c>
      <c r="BE86" t="s">
        <v>3</v>
      </c>
      <c r="BF86" t="s">
        <v>3</v>
      </c>
      <c r="BG86" t="s">
        <v>3</v>
      </c>
      <c r="BH86">
        <v>0</v>
      </c>
      <c r="BI86">
        <v>1</v>
      </c>
      <c r="BJ86" t="s">
        <v>204</v>
      </c>
      <c r="BM86">
        <v>15001</v>
      </c>
      <c r="BN86">
        <v>0</v>
      </c>
      <c r="BO86" t="s">
        <v>202</v>
      </c>
      <c r="BP86">
        <v>1</v>
      </c>
      <c r="BQ86">
        <v>2</v>
      </c>
      <c r="BR86">
        <v>0</v>
      </c>
      <c r="BS86">
        <v>20.88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105</v>
      </c>
      <c r="CA86">
        <v>55</v>
      </c>
      <c r="CF86">
        <v>0</v>
      </c>
      <c r="CG86">
        <v>0</v>
      </c>
      <c r="CM86">
        <v>0</v>
      </c>
      <c r="CN86" t="s">
        <v>937</v>
      </c>
      <c r="CO86">
        <v>0</v>
      </c>
      <c r="CP86">
        <f t="shared" si="84"/>
        <v>6208</v>
      </c>
      <c r="CQ86">
        <f t="shared" si="85"/>
        <v>133610.122</v>
      </c>
      <c r="CR86">
        <f t="shared" si="86"/>
        <v>1085.4513999999999</v>
      </c>
      <c r="CS86">
        <f t="shared" si="87"/>
        <v>79.135199999999998</v>
      </c>
      <c r="CT86">
        <f t="shared" si="88"/>
        <v>22870.907999999996</v>
      </c>
      <c r="CU86">
        <f t="shared" si="89"/>
        <v>0</v>
      </c>
      <c r="CV86">
        <f t="shared" si="90"/>
        <v>124.61399999999999</v>
      </c>
      <c r="CW86">
        <f t="shared" si="91"/>
        <v>0.3125</v>
      </c>
      <c r="CX86">
        <f t="shared" si="92"/>
        <v>0</v>
      </c>
      <c r="CY86">
        <f t="shared" si="93"/>
        <v>596.64</v>
      </c>
      <c r="CZ86">
        <f t="shared" si="94"/>
        <v>379.68</v>
      </c>
      <c r="DC86" t="s">
        <v>3</v>
      </c>
      <c r="DD86" t="s">
        <v>3</v>
      </c>
      <c r="DE86" t="s">
        <v>160</v>
      </c>
      <c r="DF86" t="s">
        <v>160</v>
      </c>
      <c r="DG86" t="s">
        <v>161</v>
      </c>
      <c r="DH86" t="s">
        <v>3</v>
      </c>
      <c r="DI86" t="s">
        <v>161</v>
      </c>
      <c r="DJ86" t="s">
        <v>160</v>
      </c>
      <c r="DK86" t="s">
        <v>3</v>
      </c>
      <c r="DL86" t="s">
        <v>3</v>
      </c>
      <c r="DM86" t="s">
        <v>3</v>
      </c>
      <c r="DN86">
        <v>0</v>
      </c>
      <c r="DO86">
        <v>0</v>
      </c>
      <c r="DP86">
        <v>1</v>
      </c>
      <c r="DQ86">
        <v>1</v>
      </c>
      <c r="DU86">
        <v>1013</v>
      </c>
      <c r="DV86" t="s">
        <v>41</v>
      </c>
      <c r="DW86" t="s">
        <v>41</v>
      </c>
      <c r="DX86">
        <v>1</v>
      </c>
      <c r="EE86">
        <v>45269202</v>
      </c>
      <c r="EF86">
        <v>2</v>
      </c>
      <c r="EG86" t="s">
        <v>19</v>
      </c>
      <c r="EH86">
        <v>0</v>
      </c>
      <c r="EI86" t="s">
        <v>3</v>
      </c>
      <c r="EJ86">
        <v>1</v>
      </c>
      <c r="EK86">
        <v>15001</v>
      </c>
      <c r="EL86" t="s">
        <v>157</v>
      </c>
      <c r="EM86" t="s">
        <v>168</v>
      </c>
      <c r="EO86" t="s">
        <v>162</v>
      </c>
      <c r="EQ86">
        <v>0</v>
      </c>
      <c r="ER86">
        <v>29790.85</v>
      </c>
      <c r="ES86">
        <v>28671.7</v>
      </c>
      <c r="ET86">
        <v>166.67</v>
      </c>
      <c r="EU86">
        <v>3.03</v>
      </c>
      <c r="EV86">
        <v>952.48</v>
      </c>
      <c r="EW86">
        <v>108.36</v>
      </c>
      <c r="EX86">
        <v>0.25</v>
      </c>
      <c r="EY86">
        <v>0</v>
      </c>
      <c r="FQ86">
        <v>0</v>
      </c>
      <c r="FR86">
        <f t="shared" si="95"/>
        <v>0</v>
      </c>
      <c r="FS86">
        <v>0</v>
      </c>
      <c r="FT86" t="s">
        <v>22</v>
      </c>
      <c r="FU86" t="s">
        <v>23</v>
      </c>
      <c r="FX86">
        <v>66.150000000000006</v>
      </c>
      <c r="FY86">
        <v>42.075000000000003</v>
      </c>
      <c r="GA86" t="s">
        <v>3</v>
      </c>
      <c r="GD86">
        <v>0</v>
      </c>
      <c r="GF86">
        <v>-1104239351</v>
      </c>
      <c r="GG86">
        <v>2</v>
      </c>
      <c r="GH86">
        <v>1</v>
      </c>
      <c r="GI86">
        <v>2</v>
      </c>
      <c r="GJ86">
        <v>0</v>
      </c>
      <c r="GK86">
        <f>ROUND(R86*(R12)/100,0)</f>
        <v>0</v>
      </c>
      <c r="GL86">
        <f t="shared" si="96"/>
        <v>0</v>
      </c>
      <c r="GM86">
        <f t="shared" si="97"/>
        <v>7185</v>
      </c>
      <c r="GN86">
        <f t="shared" si="98"/>
        <v>7185</v>
      </c>
      <c r="GO86">
        <f t="shared" si="99"/>
        <v>0</v>
      </c>
      <c r="GP86">
        <f t="shared" si="100"/>
        <v>0</v>
      </c>
      <c r="GR86">
        <v>0</v>
      </c>
      <c r="GS86">
        <v>3</v>
      </c>
      <c r="GT86">
        <v>0</v>
      </c>
      <c r="GU86" t="s">
        <v>3</v>
      </c>
      <c r="GV86">
        <f t="shared" si="101"/>
        <v>0</v>
      </c>
      <c r="GW86">
        <v>1</v>
      </c>
      <c r="GX86">
        <f t="shared" si="102"/>
        <v>0</v>
      </c>
      <c r="HA86">
        <v>0</v>
      </c>
      <c r="HB86">
        <v>0</v>
      </c>
      <c r="IK86">
        <v>0</v>
      </c>
    </row>
    <row r="87" spans="1:245">
      <c r="A87">
        <v>17</v>
      </c>
      <c r="B87">
        <v>1</v>
      </c>
      <c r="E87" t="s">
        <v>205</v>
      </c>
      <c r="F87" t="s">
        <v>206</v>
      </c>
      <c r="G87" t="s">
        <v>207</v>
      </c>
      <c r="H87" t="s">
        <v>208</v>
      </c>
      <c r="I87">
        <v>8.14</v>
      </c>
      <c r="J87">
        <v>0</v>
      </c>
      <c r="O87">
        <f t="shared" si="69"/>
        <v>260</v>
      </c>
      <c r="P87">
        <f t="shared" si="70"/>
        <v>260</v>
      </c>
      <c r="Q87">
        <f t="shared" si="71"/>
        <v>0</v>
      </c>
      <c r="R87">
        <f t="shared" si="72"/>
        <v>0</v>
      </c>
      <c r="S87">
        <f t="shared" si="73"/>
        <v>0</v>
      </c>
      <c r="T87">
        <f t="shared" si="74"/>
        <v>0</v>
      </c>
      <c r="U87">
        <f t="shared" si="75"/>
        <v>0</v>
      </c>
      <c r="V87">
        <f t="shared" si="76"/>
        <v>0</v>
      </c>
      <c r="W87">
        <f t="shared" si="77"/>
        <v>0</v>
      </c>
      <c r="X87">
        <f t="shared" si="78"/>
        <v>0</v>
      </c>
      <c r="Y87">
        <f t="shared" si="79"/>
        <v>0</v>
      </c>
      <c r="AA87">
        <v>48370320</v>
      </c>
      <c r="AB87">
        <f t="shared" si="80"/>
        <v>6.38</v>
      </c>
      <c r="AC87">
        <f t="shared" si="81"/>
        <v>6.38</v>
      </c>
      <c r="AD87">
        <f>ROUND((((ET87)-(EU87))+AE87),2)</f>
        <v>0</v>
      </c>
      <c r="AE87">
        <f t="shared" ref="AE87:AF89" si="103">ROUND((EU87),2)</f>
        <v>0</v>
      </c>
      <c r="AF87">
        <f t="shared" si="103"/>
        <v>0</v>
      </c>
      <c r="AG87">
        <f t="shared" si="82"/>
        <v>0</v>
      </c>
      <c r="AH87">
        <f t="shared" ref="AH87:AI89" si="104">(EW87)</f>
        <v>0</v>
      </c>
      <c r="AI87">
        <f t="shared" si="104"/>
        <v>0</v>
      </c>
      <c r="AJ87">
        <f t="shared" si="83"/>
        <v>0</v>
      </c>
      <c r="AK87">
        <v>6.38</v>
      </c>
      <c r="AL87">
        <v>6.38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5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209</v>
      </c>
      <c r="BM87">
        <v>500001</v>
      </c>
      <c r="BN87">
        <v>0</v>
      </c>
      <c r="BO87" t="s">
        <v>206</v>
      </c>
      <c r="BP87">
        <v>1</v>
      </c>
      <c r="BQ87">
        <v>8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937</v>
      </c>
      <c r="CO87">
        <v>0</v>
      </c>
      <c r="CP87">
        <f t="shared" si="84"/>
        <v>260</v>
      </c>
      <c r="CQ87">
        <f t="shared" si="85"/>
        <v>31.9</v>
      </c>
      <c r="CR87">
        <f t="shared" si="86"/>
        <v>0</v>
      </c>
      <c r="CS87">
        <f t="shared" si="87"/>
        <v>0</v>
      </c>
      <c r="CT87">
        <f t="shared" si="88"/>
        <v>0</v>
      </c>
      <c r="CU87">
        <f t="shared" si="89"/>
        <v>0</v>
      </c>
      <c r="CV87">
        <f t="shared" si="90"/>
        <v>0</v>
      </c>
      <c r="CW87">
        <f t="shared" si="91"/>
        <v>0</v>
      </c>
      <c r="CX87">
        <f t="shared" si="92"/>
        <v>0</v>
      </c>
      <c r="CY87">
        <f t="shared" si="93"/>
        <v>0</v>
      </c>
      <c r="CZ87">
        <f t="shared" si="94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1003</v>
      </c>
      <c r="DV87" t="s">
        <v>208</v>
      </c>
      <c r="DW87" t="s">
        <v>208</v>
      </c>
      <c r="DX87">
        <v>1</v>
      </c>
      <c r="EE87">
        <v>45269109</v>
      </c>
      <c r="EF87">
        <v>8</v>
      </c>
      <c r="EG87" t="s">
        <v>174</v>
      </c>
      <c r="EH87">
        <v>0</v>
      </c>
      <c r="EI87" t="s">
        <v>3</v>
      </c>
      <c r="EJ87">
        <v>1</v>
      </c>
      <c r="EK87">
        <v>500001</v>
      </c>
      <c r="EL87" t="s">
        <v>175</v>
      </c>
      <c r="EM87" t="s">
        <v>176</v>
      </c>
      <c r="EO87" t="s">
        <v>162</v>
      </c>
      <c r="EQ87">
        <v>0</v>
      </c>
      <c r="ER87">
        <v>6.38</v>
      </c>
      <c r="ES87">
        <v>6.38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FQ87">
        <v>0</v>
      </c>
      <c r="FR87">
        <f t="shared" si="95"/>
        <v>0</v>
      </c>
      <c r="FS87">
        <v>0</v>
      </c>
      <c r="FX87">
        <v>0</v>
      </c>
      <c r="FY87">
        <v>0</v>
      </c>
      <c r="GA87" t="s">
        <v>3</v>
      </c>
      <c r="GD87">
        <v>0</v>
      </c>
      <c r="GF87">
        <v>13806589</v>
      </c>
      <c r="GG87">
        <v>2</v>
      </c>
      <c r="GH87">
        <v>1</v>
      </c>
      <c r="GI87">
        <v>2</v>
      </c>
      <c r="GJ87">
        <v>0</v>
      </c>
      <c r="GK87">
        <f>ROUND(R87*(R12)/100,0)</f>
        <v>0</v>
      </c>
      <c r="GL87">
        <f t="shared" si="96"/>
        <v>0</v>
      </c>
      <c r="GM87">
        <f t="shared" si="97"/>
        <v>260</v>
      </c>
      <c r="GN87">
        <f t="shared" si="98"/>
        <v>260</v>
      </c>
      <c r="GO87">
        <f t="shared" si="99"/>
        <v>0</v>
      </c>
      <c r="GP87">
        <f t="shared" si="100"/>
        <v>0</v>
      </c>
      <c r="GR87">
        <v>0</v>
      </c>
      <c r="GS87">
        <v>3</v>
      </c>
      <c r="GT87">
        <v>0</v>
      </c>
      <c r="GU87" t="s">
        <v>3</v>
      </c>
      <c r="GV87">
        <f t="shared" si="101"/>
        <v>0</v>
      </c>
      <c r="GW87">
        <v>1</v>
      </c>
      <c r="GX87">
        <f t="shared" si="102"/>
        <v>0</v>
      </c>
      <c r="HA87">
        <v>0</v>
      </c>
      <c r="HB87">
        <v>0</v>
      </c>
      <c r="IK87">
        <v>0</v>
      </c>
    </row>
    <row r="88" spans="1:245">
      <c r="A88">
        <v>17</v>
      </c>
      <c r="B88">
        <v>1</v>
      </c>
      <c r="C88">
        <f>ROW(SmtRes!A155)</f>
        <v>155</v>
      </c>
      <c r="D88">
        <f>ROW(EtalonRes!A156)</f>
        <v>156</v>
      </c>
      <c r="E88" t="s">
        <v>210</v>
      </c>
      <c r="F88" t="s">
        <v>211</v>
      </c>
      <c r="G88" t="s">
        <v>212</v>
      </c>
      <c r="H88" t="s">
        <v>64</v>
      </c>
      <c r="I88">
        <f>ROUND(2/100,9)</f>
        <v>0.02</v>
      </c>
      <c r="J88">
        <v>0</v>
      </c>
      <c r="O88">
        <f t="shared" si="69"/>
        <v>340</v>
      </c>
      <c r="P88">
        <f t="shared" si="70"/>
        <v>33</v>
      </c>
      <c r="Q88">
        <f t="shared" si="71"/>
        <v>34</v>
      </c>
      <c r="R88">
        <f t="shared" si="72"/>
        <v>4</v>
      </c>
      <c r="S88">
        <f t="shared" si="73"/>
        <v>273</v>
      </c>
      <c r="T88">
        <f t="shared" si="74"/>
        <v>0</v>
      </c>
      <c r="U88">
        <f t="shared" si="75"/>
        <v>1.4128000000000001</v>
      </c>
      <c r="V88">
        <f t="shared" si="76"/>
        <v>1.7600000000000001E-2</v>
      </c>
      <c r="W88">
        <f t="shared" si="77"/>
        <v>0</v>
      </c>
      <c r="X88">
        <f t="shared" si="78"/>
        <v>186</v>
      </c>
      <c r="Y88">
        <f t="shared" si="79"/>
        <v>163</v>
      </c>
      <c r="AA88">
        <v>48370320</v>
      </c>
      <c r="AB88">
        <f t="shared" si="80"/>
        <v>1415.25</v>
      </c>
      <c r="AC88">
        <f t="shared" si="81"/>
        <v>523.46</v>
      </c>
      <c r="AD88">
        <f>ROUND((((ET88)-(EU88))+AE88),2)</f>
        <v>236.96</v>
      </c>
      <c r="AE88">
        <f t="shared" si="103"/>
        <v>10.65</v>
      </c>
      <c r="AF88">
        <f t="shared" si="103"/>
        <v>654.83000000000004</v>
      </c>
      <c r="AG88">
        <f t="shared" si="82"/>
        <v>0</v>
      </c>
      <c r="AH88">
        <f t="shared" si="104"/>
        <v>70.64</v>
      </c>
      <c r="AI88">
        <f t="shared" si="104"/>
        <v>0.88</v>
      </c>
      <c r="AJ88">
        <f t="shared" si="83"/>
        <v>0</v>
      </c>
      <c r="AK88">
        <v>1415.25</v>
      </c>
      <c r="AL88">
        <v>523.46</v>
      </c>
      <c r="AM88">
        <v>236.96</v>
      </c>
      <c r="AN88">
        <v>10.65</v>
      </c>
      <c r="AO88">
        <v>654.83000000000004</v>
      </c>
      <c r="AP88">
        <v>0</v>
      </c>
      <c r="AQ88">
        <v>70.64</v>
      </c>
      <c r="AR88">
        <v>0.88</v>
      </c>
      <c r="AS88">
        <v>0</v>
      </c>
      <c r="AT88">
        <v>67</v>
      </c>
      <c r="AU88">
        <v>59</v>
      </c>
      <c r="AV88">
        <v>1</v>
      </c>
      <c r="AW88">
        <v>1</v>
      </c>
      <c r="AZ88">
        <v>1</v>
      </c>
      <c r="BA88">
        <v>20.88</v>
      </c>
      <c r="BB88">
        <v>7.18</v>
      </c>
      <c r="BC88">
        <v>3.13</v>
      </c>
      <c r="BD88" t="s">
        <v>3</v>
      </c>
      <c r="BE88" t="s">
        <v>3</v>
      </c>
      <c r="BF88" t="s">
        <v>3</v>
      </c>
      <c r="BG88" t="s">
        <v>3</v>
      </c>
      <c r="BH88">
        <v>0</v>
      </c>
      <c r="BI88">
        <v>2</v>
      </c>
      <c r="BJ88" t="s">
        <v>213</v>
      </c>
      <c r="BM88">
        <v>108001</v>
      </c>
      <c r="BN88">
        <v>0</v>
      </c>
      <c r="BO88" t="s">
        <v>211</v>
      </c>
      <c r="BP88">
        <v>1</v>
      </c>
      <c r="BQ88">
        <v>3</v>
      </c>
      <c r="BR88">
        <v>0</v>
      </c>
      <c r="BS88">
        <v>20.88</v>
      </c>
      <c r="BT88">
        <v>1</v>
      </c>
      <c r="BU88">
        <v>1</v>
      </c>
      <c r="BV88">
        <v>1</v>
      </c>
      <c r="BW88">
        <v>1</v>
      </c>
      <c r="BX88">
        <v>1</v>
      </c>
      <c r="BY88" t="s">
        <v>3</v>
      </c>
      <c r="BZ88">
        <v>95</v>
      </c>
      <c r="CA88">
        <v>65</v>
      </c>
      <c r="CF88">
        <v>0</v>
      </c>
      <c r="CG88">
        <v>0</v>
      </c>
      <c r="CM88">
        <v>0</v>
      </c>
      <c r="CN88" t="s">
        <v>3</v>
      </c>
      <c r="CO88">
        <v>0</v>
      </c>
      <c r="CP88">
        <f t="shared" si="84"/>
        <v>340</v>
      </c>
      <c r="CQ88">
        <f t="shared" si="85"/>
        <v>1638.4298000000001</v>
      </c>
      <c r="CR88">
        <f t="shared" si="86"/>
        <v>1701.3728000000001</v>
      </c>
      <c r="CS88">
        <f t="shared" si="87"/>
        <v>222.37199999999999</v>
      </c>
      <c r="CT88">
        <f t="shared" si="88"/>
        <v>13672.850399999999</v>
      </c>
      <c r="CU88">
        <f t="shared" si="89"/>
        <v>0</v>
      </c>
      <c r="CV88">
        <f t="shared" si="90"/>
        <v>70.64</v>
      </c>
      <c r="CW88">
        <f t="shared" si="91"/>
        <v>0.88</v>
      </c>
      <c r="CX88">
        <f t="shared" si="92"/>
        <v>0</v>
      </c>
      <c r="CY88">
        <f t="shared" si="93"/>
        <v>185.59</v>
      </c>
      <c r="CZ88">
        <f t="shared" si="94"/>
        <v>163.43</v>
      </c>
      <c r="DC88" t="s">
        <v>3</v>
      </c>
      <c r="DD88" t="s">
        <v>3</v>
      </c>
      <c r="DE88" t="s">
        <v>3</v>
      </c>
      <c r="DF88" t="s">
        <v>3</v>
      </c>
      <c r="DG88" t="s">
        <v>3</v>
      </c>
      <c r="DH88" t="s">
        <v>3</v>
      </c>
      <c r="DI88" t="s">
        <v>3</v>
      </c>
      <c r="DJ88" t="s">
        <v>3</v>
      </c>
      <c r="DK88" t="s">
        <v>3</v>
      </c>
      <c r="DL88" t="s">
        <v>3</v>
      </c>
      <c r="DM88" t="s">
        <v>3</v>
      </c>
      <c r="DN88">
        <v>0</v>
      </c>
      <c r="DO88">
        <v>0</v>
      </c>
      <c r="DP88">
        <v>1</v>
      </c>
      <c r="DQ88">
        <v>1</v>
      </c>
      <c r="DU88">
        <v>1010</v>
      </c>
      <c r="DV88" t="s">
        <v>64</v>
      </c>
      <c r="DW88" t="s">
        <v>64</v>
      </c>
      <c r="DX88">
        <v>100</v>
      </c>
      <c r="EE88">
        <v>45269059</v>
      </c>
      <c r="EF88">
        <v>3</v>
      </c>
      <c r="EG88" t="s">
        <v>214</v>
      </c>
      <c r="EH88">
        <v>0</v>
      </c>
      <c r="EI88" t="s">
        <v>3</v>
      </c>
      <c r="EJ88">
        <v>2</v>
      </c>
      <c r="EK88">
        <v>108001</v>
      </c>
      <c r="EL88" t="s">
        <v>215</v>
      </c>
      <c r="EM88" t="s">
        <v>216</v>
      </c>
      <c r="EO88" t="s">
        <v>3</v>
      </c>
      <c r="EQ88">
        <v>0</v>
      </c>
      <c r="ER88">
        <v>1415.25</v>
      </c>
      <c r="ES88">
        <v>523.46</v>
      </c>
      <c r="ET88">
        <v>236.96</v>
      </c>
      <c r="EU88">
        <v>10.65</v>
      </c>
      <c r="EV88">
        <v>654.83000000000004</v>
      </c>
      <c r="EW88">
        <v>70.64</v>
      </c>
      <c r="EX88">
        <v>0.88</v>
      </c>
      <c r="EY88">
        <v>0</v>
      </c>
      <c r="FQ88">
        <v>0</v>
      </c>
      <c r="FR88">
        <f t="shared" si="95"/>
        <v>0</v>
      </c>
      <c r="FS88">
        <v>0</v>
      </c>
      <c r="FT88" t="s">
        <v>36</v>
      </c>
      <c r="FU88" t="s">
        <v>37</v>
      </c>
      <c r="FX88">
        <v>66.5</v>
      </c>
      <c r="FY88">
        <v>58.5</v>
      </c>
      <c r="GA88" t="s">
        <v>3</v>
      </c>
      <c r="GD88">
        <v>0</v>
      </c>
      <c r="GF88">
        <v>1880925301</v>
      </c>
      <c r="GG88">
        <v>2</v>
      </c>
      <c r="GH88">
        <v>1</v>
      </c>
      <c r="GI88">
        <v>2</v>
      </c>
      <c r="GJ88">
        <v>0</v>
      </c>
      <c r="GK88">
        <f>ROUND(R88*(R12)/100,0)</f>
        <v>0</v>
      </c>
      <c r="GL88">
        <f t="shared" si="96"/>
        <v>0</v>
      </c>
      <c r="GM88">
        <f t="shared" si="97"/>
        <v>689</v>
      </c>
      <c r="GN88">
        <f t="shared" si="98"/>
        <v>0</v>
      </c>
      <c r="GO88">
        <f t="shared" si="99"/>
        <v>689</v>
      </c>
      <c r="GP88">
        <f t="shared" si="100"/>
        <v>0</v>
      </c>
      <c r="GR88">
        <v>0</v>
      </c>
      <c r="GS88">
        <v>3</v>
      </c>
      <c r="GT88">
        <v>0</v>
      </c>
      <c r="GU88" t="s">
        <v>3</v>
      </c>
      <c r="GV88">
        <f t="shared" si="101"/>
        <v>0</v>
      </c>
      <c r="GW88">
        <v>1</v>
      </c>
      <c r="GX88">
        <f t="shared" si="102"/>
        <v>0</v>
      </c>
      <c r="HA88">
        <v>0</v>
      </c>
      <c r="HB88">
        <v>0</v>
      </c>
      <c r="IK88">
        <v>0</v>
      </c>
    </row>
    <row r="89" spans="1:245">
      <c r="A89">
        <v>17</v>
      </c>
      <c r="B89">
        <v>1</v>
      </c>
      <c r="E89" t="s">
        <v>217</v>
      </c>
      <c r="F89" t="s">
        <v>218</v>
      </c>
      <c r="G89" t="s">
        <v>219</v>
      </c>
      <c r="H89" t="s">
        <v>220</v>
      </c>
      <c r="I89">
        <v>2</v>
      </c>
      <c r="J89">
        <v>0</v>
      </c>
      <c r="O89">
        <f t="shared" si="69"/>
        <v>1461</v>
      </c>
      <c r="P89">
        <f t="shared" si="70"/>
        <v>1461</v>
      </c>
      <c r="Q89">
        <f t="shared" si="71"/>
        <v>0</v>
      </c>
      <c r="R89">
        <f t="shared" si="72"/>
        <v>0</v>
      </c>
      <c r="S89">
        <f t="shared" si="73"/>
        <v>0</v>
      </c>
      <c r="T89">
        <f t="shared" si="74"/>
        <v>0</v>
      </c>
      <c r="U89">
        <f t="shared" si="75"/>
        <v>0</v>
      </c>
      <c r="V89">
        <f t="shared" si="76"/>
        <v>0</v>
      </c>
      <c r="W89">
        <f t="shared" si="77"/>
        <v>0</v>
      </c>
      <c r="X89">
        <f t="shared" si="78"/>
        <v>0</v>
      </c>
      <c r="Y89">
        <f t="shared" si="79"/>
        <v>0</v>
      </c>
      <c r="AA89">
        <v>48370320</v>
      </c>
      <c r="AB89">
        <f t="shared" si="80"/>
        <v>147.30000000000001</v>
      </c>
      <c r="AC89">
        <f t="shared" si="81"/>
        <v>147.30000000000001</v>
      </c>
      <c r="AD89">
        <f>ROUND((((ET89)-(EU89))+AE89),2)</f>
        <v>0</v>
      </c>
      <c r="AE89">
        <f t="shared" si="103"/>
        <v>0</v>
      </c>
      <c r="AF89">
        <f t="shared" si="103"/>
        <v>0</v>
      </c>
      <c r="AG89">
        <f t="shared" si="82"/>
        <v>0</v>
      </c>
      <c r="AH89">
        <f t="shared" si="104"/>
        <v>0</v>
      </c>
      <c r="AI89">
        <f t="shared" si="104"/>
        <v>0</v>
      </c>
      <c r="AJ89">
        <f t="shared" si="83"/>
        <v>0</v>
      </c>
      <c r="AK89">
        <v>147.30000000000001</v>
      </c>
      <c r="AL89">
        <v>147.30000000000001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4.96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2</v>
      </c>
      <c r="BJ89" t="s">
        <v>221</v>
      </c>
      <c r="BM89">
        <v>500002</v>
      </c>
      <c r="BN89">
        <v>0</v>
      </c>
      <c r="BO89" t="s">
        <v>218</v>
      </c>
      <c r="BP89">
        <v>1</v>
      </c>
      <c r="BQ89">
        <v>12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84"/>
        <v>1461</v>
      </c>
      <c r="CQ89">
        <f t="shared" si="85"/>
        <v>730.60800000000006</v>
      </c>
      <c r="CR89">
        <f t="shared" si="86"/>
        <v>0</v>
      </c>
      <c r="CS89">
        <f t="shared" si="87"/>
        <v>0</v>
      </c>
      <c r="CT89">
        <f t="shared" si="88"/>
        <v>0</v>
      </c>
      <c r="CU89">
        <f t="shared" si="89"/>
        <v>0</v>
      </c>
      <c r="CV89">
        <f t="shared" si="90"/>
        <v>0</v>
      </c>
      <c r="CW89">
        <f t="shared" si="91"/>
        <v>0</v>
      </c>
      <c r="CX89">
        <f t="shared" si="92"/>
        <v>0</v>
      </c>
      <c r="CY89">
        <f t="shared" si="93"/>
        <v>0</v>
      </c>
      <c r="CZ89">
        <f t="shared" si="94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1010</v>
      </c>
      <c r="DV89" t="s">
        <v>220</v>
      </c>
      <c r="DW89" t="s">
        <v>220</v>
      </c>
      <c r="DX89">
        <v>1</v>
      </c>
      <c r="EE89">
        <v>45269110</v>
      </c>
      <c r="EF89">
        <v>12</v>
      </c>
      <c r="EG89" t="s">
        <v>222</v>
      </c>
      <c r="EH89">
        <v>0</v>
      </c>
      <c r="EI89" t="s">
        <v>3</v>
      </c>
      <c r="EJ89">
        <v>2</v>
      </c>
      <c r="EK89">
        <v>500002</v>
      </c>
      <c r="EL89" t="s">
        <v>223</v>
      </c>
      <c r="EM89" t="s">
        <v>224</v>
      </c>
      <c r="EO89" t="s">
        <v>3</v>
      </c>
      <c r="EQ89">
        <v>0</v>
      </c>
      <c r="ER89">
        <v>147.30000000000001</v>
      </c>
      <c r="ES89">
        <v>147.30000000000001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FQ89">
        <v>0</v>
      </c>
      <c r="FR89">
        <f t="shared" si="95"/>
        <v>0</v>
      </c>
      <c r="FS89">
        <v>0</v>
      </c>
      <c r="FX89">
        <v>0</v>
      </c>
      <c r="FY89">
        <v>0</v>
      </c>
      <c r="GA89" t="s">
        <v>3</v>
      </c>
      <c r="GD89">
        <v>0</v>
      </c>
      <c r="GF89">
        <v>-1797373852</v>
      </c>
      <c r="GG89">
        <v>2</v>
      </c>
      <c r="GH89">
        <v>1</v>
      </c>
      <c r="GI89">
        <v>2</v>
      </c>
      <c r="GJ89">
        <v>0</v>
      </c>
      <c r="GK89">
        <f>ROUND(R89*(R12)/100,0)</f>
        <v>0</v>
      </c>
      <c r="GL89">
        <f t="shared" si="96"/>
        <v>0</v>
      </c>
      <c r="GM89">
        <f t="shared" si="97"/>
        <v>1461</v>
      </c>
      <c r="GN89">
        <f t="shared" si="98"/>
        <v>0</v>
      </c>
      <c r="GO89">
        <f t="shared" si="99"/>
        <v>1461</v>
      </c>
      <c r="GP89">
        <f t="shared" si="100"/>
        <v>0</v>
      </c>
      <c r="GR89">
        <v>0</v>
      </c>
      <c r="GS89">
        <v>3</v>
      </c>
      <c r="GT89">
        <v>0</v>
      </c>
      <c r="GU89" t="s">
        <v>3</v>
      </c>
      <c r="GV89">
        <f t="shared" si="101"/>
        <v>0</v>
      </c>
      <c r="GW89">
        <v>1</v>
      </c>
      <c r="GX89">
        <f t="shared" si="102"/>
        <v>0</v>
      </c>
      <c r="HA89">
        <v>0</v>
      </c>
      <c r="HB89">
        <v>0</v>
      </c>
      <c r="IK89">
        <v>0</v>
      </c>
    </row>
    <row r="90" spans="1:245">
      <c r="A90">
        <v>17</v>
      </c>
      <c r="B90">
        <v>1</v>
      </c>
      <c r="C90">
        <f>ROW(SmtRes!A168)</f>
        <v>168</v>
      </c>
      <c r="D90">
        <f>ROW(EtalonRes!A169)</f>
        <v>169</v>
      </c>
      <c r="E90" t="s">
        <v>225</v>
      </c>
      <c r="F90" t="s">
        <v>226</v>
      </c>
      <c r="G90" t="s">
        <v>227</v>
      </c>
      <c r="H90" t="s">
        <v>228</v>
      </c>
      <c r="I90">
        <f>ROUND(1/10,9)</f>
        <v>0.1</v>
      </c>
      <c r="J90">
        <v>0</v>
      </c>
      <c r="O90">
        <f t="shared" si="69"/>
        <v>496</v>
      </c>
      <c r="P90">
        <f t="shared" si="70"/>
        <v>0</v>
      </c>
      <c r="Q90">
        <f t="shared" si="71"/>
        <v>29</v>
      </c>
      <c r="R90">
        <f t="shared" si="72"/>
        <v>4</v>
      </c>
      <c r="S90">
        <f t="shared" si="73"/>
        <v>467</v>
      </c>
      <c r="T90">
        <f t="shared" si="74"/>
        <v>0</v>
      </c>
      <c r="U90">
        <f t="shared" si="75"/>
        <v>2.4897499999999999</v>
      </c>
      <c r="V90">
        <f t="shared" si="76"/>
        <v>1.6250000000000001E-2</v>
      </c>
      <c r="W90">
        <f t="shared" si="77"/>
        <v>0</v>
      </c>
      <c r="X90">
        <f t="shared" si="78"/>
        <v>382</v>
      </c>
      <c r="Y90">
        <f t="shared" si="79"/>
        <v>297</v>
      </c>
      <c r="AA90">
        <v>48370320</v>
      </c>
      <c r="AB90">
        <f t="shared" si="80"/>
        <v>254.81</v>
      </c>
      <c r="AC90">
        <f>ROUND(((ES90*0)),2)</f>
        <v>0</v>
      </c>
      <c r="AD90">
        <f>ROUND(((((ET90*1.25))-((EU90*1.25)))+AE90),2)</f>
        <v>30.99</v>
      </c>
      <c r="AE90">
        <f>ROUND(((EU90*1.25)),2)</f>
        <v>1.96</v>
      </c>
      <c r="AF90">
        <f>ROUND(((EV90*1.15)),2)</f>
        <v>223.82</v>
      </c>
      <c r="AG90">
        <f t="shared" si="82"/>
        <v>0</v>
      </c>
      <c r="AH90">
        <f>((EW90*1.15))</f>
        <v>24.897499999999997</v>
      </c>
      <c r="AI90">
        <f>((EX90*1.25))</f>
        <v>0.16250000000000001</v>
      </c>
      <c r="AJ90">
        <f t="shared" si="83"/>
        <v>0</v>
      </c>
      <c r="AK90">
        <v>2676.2</v>
      </c>
      <c r="AL90">
        <v>2456.7800000000002</v>
      </c>
      <c r="AM90">
        <v>24.79</v>
      </c>
      <c r="AN90">
        <v>1.57</v>
      </c>
      <c r="AO90">
        <v>194.63</v>
      </c>
      <c r="AP90">
        <v>0</v>
      </c>
      <c r="AQ90">
        <v>21.65</v>
      </c>
      <c r="AR90">
        <v>0.13</v>
      </c>
      <c r="AS90">
        <v>0</v>
      </c>
      <c r="AT90">
        <v>81</v>
      </c>
      <c r="AU90">
        <v>63</v>
      </c>
      <c r="AV90">
        <v>1</v>
      </c>
      <c r="AW90">
        <v>1</v>
      </c>
      <c r="AZ90">
        <v>1</v>
      </c>
      <c r="BA90">
        <v>20.88</v>
      </c>
      <c r="BB90">
        <v>9.2899999999999991</v>
      </c>
      <c r="BC90">
        <v>5.25</v>
      </c>
      <c r="BD90" t="s">
        <v>3</v>
      </c>
      <c r="BE90" t="s">
        <v>3</v>
      </c>
      <c r="BF90" t="s">
        <v>3</v>
      </c>
      <c r="BG90" t="s">
        <v>3</v>
      </c>
      <c r="BH90">
        <v>0</v>
      </c>
      <c r="BI90">
        <v>1</v>
      </c>
      <c r="BJ90" t="s">
        <v>229</v>
      </c>
      <c r="BM90">
        <v>17001</v>
      </c>
      <c r="BN90">
        <v>0</v>
      </c>
      <c r="BO90" t="s">
        <v>226</v>
      </c>
      <c r="BP90">
        <v>1</v>
      </c>
      <c r="BQ90">
        <v>2</v>
      </c>
      <c r="BR90">
        <v>0</v>
      </c>
      <c r="BS90">
        <v>20.88</v>
      </c>
      <c r="BT90">
        <v>1</v>
      </c>
      <c r="BU90">
        <v>1</v>
      </c>
      <c r="BV90">
        <v>1</v>
      </c>
      <c r="BW90">
        <v>1</v>
      </c>
      <c r="BX90">
        <v>1</v>
      </c>
      <c r="BY90" t="s">
        <v>3</v>
      </c>
      <c r="BZ90">
        <v>128</v>
      </c>
      <c r="CA90">
        <v>83</v>
      </c>
      <c r="CF90">
        <v>0</v>
      </c>
      <c r="CG90">
        <v>0</v>
      </c>
      <c r="CM90">
        <v>0</v>
      </c>
      <c r="CN90" t="s">
        <v>937</v>
      </c>
      <c r="CO90">
        <v>0</v>
      </c>
      <c r="CP90">
        <f t="shared" si="84"/>
        <v>496</v>
      </c>
      <c r="CQ90">
        <f t="shared" si="85"/>
        <v>0</v>
      </c>
      <c r="CR90">
        <f t="shared" si="86"/>
        <v>287.89709999999997</v>
      </c>
      <c r="CS90">
        <f t="shared" si="87"/>
        <v>40.924799999999998</v>
      </c>
      <c r="CT90">
        <f t="shared" si="88"/>
        <v>4673.3615999999993</v>
      </c>
      <c r="CU90">
        <f t="shared" si="89"/>
        <v>0</v>
      </c>
      <c r="CV90">
        <f t="shared" si="90"/>
        <v>24.897499999999997</v>
      </c>
      <c r="CW90">
        <f t="shared" si="91"/>
        <v>0.16250000000000001</v>
      </c>
      <c r="CX90">
        <f t="shared" si="92"/>
        <v>0</v>
      </c>
      <c r="CY90">
        <f t="shared" si="93"/>
        <v>381.51</v>
      </c>
      <c r="CZ90">
        <f t="shared" si="94"/>
        <v>296.73</v>
      </c>
      <c r="DC90" t="s">
        <v>3</v>
      </c>
      <c r="DD90" t="s">
        <v>230</v>
      </c>
      <c r="DE90" t="s">
        <v>160</v>
      </c>
      <c r="DF90" t="s">
        <v>160</v>
      </c>
      <c r="DG90" t="s">
        <v>161</v>
      </c>
      <c r="DH90" t="s">
        <v>3</v>
      </c>
      <c r="DI90" t="s">
        <v>161</v>
      </c>
      <c r="DJ90" t="s">
        <v>160</v>
      </c>
      <c r="DK90" t="s">
        <v>3</v>
      </c>
      <c r="DL90" t="s">
        <v>3</v>
      </c>
      <c r="DM90" t="s">
        <v>3</v>
      </c>
      <c r="DN90">
        <v>0</v>
      </c>
      <c r="DO90">
        <v>0</v>
      </c>
      <c r="DP90">
        <v>1</v>
      </c>
      <c r="DQ90">
        <v>1</v>
      </c>
      <c r="DU90">
        <v>1013</v>
      </c>
      <c r="DV90" t="s">
        <v>228</v>
      </c>
      <c r="DW90" t="s">
        <v>228</v>
      </c>
      <c r="DX90">
        <v>1</v>
      </c>
      <c r="EE90">
        <v>45269204</v>
      </c>
      <c r="EF90">
        <v>2</v>
      </c>
      <c r="EG90" t="s">
        <v>19</v>
      </c>
      <c r="EH90">
        <v>0</v>
      </c>
      <c r="EI90" t="s">
        <v>3</v>
      </c>
      <c r="EJ90">
        <v>1</v>
      </c>
      <c r="EK90">
        <v>17001</v>
      </c>
      <c r="EL90" t="s">
        <v>231</v>
      </c>
      <c r="EM90" t="s">
        <v>232</v>
      </c>
      <c r="EO90" t="s">
        <v>162</v>
      </c>
      <c r="EQ90">
        <v>0</v>
      </c>
      <c r="ER90">
        <v>2676.2</v>
      </c>
      <c r="ES90">
        <v>2456.7800000000002</v>
      </c>
      <c r="ET90">
        <v>24.79</v>
      </c>
      <c r="EU90">
        <v>1.57</v>
      </c>
      <c r="EV90">
        <v>194.63</v>
      </c>
      <c r="EW90">
        <v>21.65</v>
      </c>
      <c r="EX90">
        <v>0.13</v>
      </c>
      <c r="EY90">
        <v>0</v>
      </c>
      <c r="FQ90">
        <v>0</v>
      </c>
      <c r="FR90">
        <f t="shared" si="95"/>
        <v>0</v>
      </c>
      <c r="FS90">
        <v>0</v>
      </c>
      <c r="FT90" t="s">
        <v>22</v>
      </c>
      <c r="FU90" t="s">
        <v>23</v>
      </c>
      <c r="FX90">
        <v>80.64</v>
      </c>
      <c r="FY90">
        <v>63.494999999999997</v>
      </c>
      <c r="GA90" t="s">
        <v>3</v>
      </c>
      <c r="GD90">
        <v>0</v>
      </c>
      <c r="GF90">
        <v>-518771732</v>
      </c>
      <c r="GG90">
        <v>2</v>
      </c>
      <c r="GH90">
        <v>1</v>
      </c>
      <c r="GI90">
        <v>2</v>
      </c>
      <c r="GJ90">
        <v>0</v>
      </c>
      <c r="GK90">
        <f>ROUND(R90*(R12)/100,0)</f>
        <v>0</v>
      </c>
      <c r="GL90">
        <f t="shared" si="96"/>
        <v>0</v>
      </c>
      <c r="GM90">
        <f t="shared" si="97"/>
        <v>1175</v>
      </c>
      <c r="GN90">
        <f t="shared" si="98"/>
        <v>1175</v>
      </c>
      <c r="GO90">
        <f t="shared" si="99"/>
        <v>0</v>
      </c>
      <c r="GP90">
        <f t="shared" si="100"/>
        <v>0</v>
      </c>
      <c r="GR90">
        <v>0</v>
      </c>
      <c r="GS90">
        <v>3</v>
      </c>
      <c r="GT90">
        <v>0</v>
      </c>
      <c r="GU90" t="s">
        <v>3</v>
      </c>
      <c r="GV90">
        <f t="shared" si="101"/>
        <v>0</v>
      </c>
      <c r="GW90">
        <v>1</v>
      </c>
      <c r="GX90">
        <f t="shared" si="102"/>
        <v>0</v>
      </c>
      <c r="HA90">
        <v>0</v>
      </c>
      <c r="HB90">
        <v>0</v>
      </c>
      <c r="IK90">
        <v>0</v>
      </c>
    </row>
    <row r="91" spans="1:245">
      <c r="A91">
        <v>17</v>
      </c>
      <c r="B91">
        <v>1</v>
      </c>
      <c r="C91">
        <f>ROW(SmtRes!A184)</f>
        <v>184</v>
      </c>
      <c r="D91">
        <f>ROW(EtalonRes!A185)</f>
        <v>185</v>
      </c>
      <c r="E91" t="s">
        <v>233</v>
      </c>
      <c r="F91" t="s">
        <v>234</v>
      </c>
      <c r="G91" t="s">
        <v>235</v>
      </c>
      <c r="H91" t="s">
        <v>228</v>
      </c>
      <c r="I91">
        <f>ROUND(1/10,9)</f>
        <v>0.1</v>
      </c>
      <c r="J91">
        <v>0</v>
      </c>
      <c r="O91">
        <f t="shared" si="69"/>
        <v>581</v>
      </c>
      <c r="P91">
        <f t="shared" si="70"/>
        <v>0</v>
      </c>
      <c r="Q91">
        <f t="shared" si="71"/>
        <v>55</v>
      </c>
      <c r="R91">
        <f t="shared" si="72"/>
        <v>10</v>
      </c>
      <c r="S91">
        <f t="shared" si="73"/>
        <v>526</v>
      </c>
      <c r="T91">
        <f t="shared" si="74"/>
        <v>0</v>
      </c>
      <c r="U91">
        <f t="shared" si="75"/>
        <v>2.8336000000000001</v>
      </c>
      <c r="V91">
        <f t="shared" si="76"/>
        <v>4.0000000000000008E-2</v>
      </c>
      <c r="W91">
        <f t="shared" si="77"/>
        <v>0</v>
      </c>
      <c r="X91">
        <f t="shared" si="78"/>
        <v>434</v>
      </c>
      <c r="Y91">
        <f t="shared" si="79"/>
        <v>338</v>
      </c>
      <c r="AA91">
        <v>48370320</v>
      </c>
      <c r="AB91">
        <f t="shared" si="80"/>
        <v>310.02999999999997</v>
      </c>
      <c r="AC91">
        <f>ROUND(((ES91*0)),2)</f>
        <v>0</v>
      </c>
      <c r="AD91">
        <f>ROUND(((((ET91*1.25))-((EU91*1.25)))+AE91),2)</f>
        <v>58.12</v>
      </c>
      <c r="AE91">
        <f>ROUND(((EU91*1.25)),2)</f>
        <v>4.84</v>
      </c>
      <c r="AF91">
        <f>ROUND(((EV91*1.15)),2)</f>
        <v>251.91</v>
      </c>
      <c r="AG91">
        <f t="shared" si="82"/>
        <v>0</v>
      </c>
      <c r="AH91">
        <f>((EW91*1.15))</f>
        <v>28.335999999999999</v>
      </c>
      <c r="AI91">
        <f>((EX91*1.25))</f>
        <v>0.4</v>
      </c>
      <c r="AJ91">
        <f t="shared" si="83"/>
        <v>0</v>
      </c>
      <c r="AK91">
        <v>5748.5</v>
      </c>
      <c r="AL91">
        <v>5482.96</v>
      </c>
      <c r="AM91">
        <v>46.49</v>
      </c>
      <c r="AN91">
        <v>3.87</v>
      </c>
      <c r="AO91">
        <v>219.05</v>
      </c>
      <c r="AP91">
        <v>0</v>
      </c>
      <c r="AQ91">
        <v>24.64</v>
      </c>
      <c r="AR91">
        <v>0.32</v>
      </c>
      <c r="AS91">
        <v>0</v>
      </c>
      <c r="AT91">
        <v>81</v>
      </c>
      <c r="AU91">
        <v>63</v>
      </c>
      <c r="AV91">
        <v>1</v>
      </c>
      <c r="AW91">
        <v>1</v>
      </c>
      <c r="AZ91">
        <v>1</v>
      </c>
      <c r="BA91">
        <v>20.88</v>
      </c>
      <c r="BB91">
        <v>9.3800000000000008</v>
      </c>
      <c r="BC91">
        <v>5.6</v>
      </c>
      <c r="BD91" t="s">
        <v>3</v>
      </c>
      <c r="BE91" t="s">
        <v>3</v>
      </c>
      <c r="BF91" t="s">
        <v>3</v>
      </c>
      <c r="BG91" t="s">
        <v>3</v>
      </c>
      <c r="BH91">
        <v>0</v>
      </c>
      <c r="BI91">
        <v>1</v>
      </c>
      <c r="BJ91" t="s">
        <v>236</v>
      </c>
      <c r="BM91">
        <v>17001</v>
      </c>
      <c r="BN91">
        <v>0</v>
      </c>
      <c r="BO91" t="s">
        <v>234</v>
      </c>
      <c r="BP91">
        <v>1</v>
      </c>
      <c r="BQ91">
        <v>2</v>
      </c>
      <c r="BR91">
        <v>0</v>
      </c>
      <c r="BS91">
        <v>20.88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128</v>
      </c>
      <c r="CA91">
        <v>83</v>
      </c>
      <c r="CF91">
        <v>0</v>
      </c>
      <c r="CG91">
        <v>0</v>
      </c>
      <c r="CM91">
        <v>0</v>
      </c>
      <c r="CN91" t="s">
        <v>937</v>
      </c>
      <c r="CO91">
        <v>0</v>
      </c>
      <c r="CP91">
        <f t="shared" si="84"/>
        <v>581</v>
      </c>
      <c r="CQ91">
        <f t="shared" si="85"/>
        <v>0</v>
      </c>
      <c r="CR91">
        <f t="shared" si="86"/>
        <v>545.16560000000004</v>
      </c>
      <c r="CS91">
        <f t="shared" si="87"/>
        <v>101.05919999999999</v>
      </c>
      <c r="CT91">
        <f t="shared" si="88"/>
        <v>5259.8807999999999</v>
      </c>
      <c r="CU91">
        <f t="shared" si="89"/>
        <v>0</v>
      </c>
      <c r="CV91">
        <f t="shared" si="90"/>
        <v>28.335999999999999</v>
      </c>
      <c r="CW91">
        <f t="shared" si="91"/>
        <v>0.4</v>
      </c>
      <c r="CX91">
        <f t="shared" si="92"/>
        <v>0</v>
      </c>
      <c r="CY91">
        <f t="shared" si="93"/>
        <v>434.16</v>
      </c>
      <c r="CZ91">
        <f t="shared" si="94"/>
        <v>337.68</v>
      </c>
      <c r="DC91" t="s">
        <v>3</v>
      </c>
      <c r="DD91" t="s">
        <v>230</v>
      </c>
      <c r="DE91" t="s">
        <v>160</v>
      </c>
      <c r="DF91" t="s">
        <v>160</v>
      </c>
      <c r="DG91" t="s">
        <v>161</v>
      </c>
      <c r="DH91" t="s">
        <v>3</v>
      </c>
      <c r="DI91" t="s">
        <v>161</v>
      </c>
      <c r="DJ91" t="s">
        <v>160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1013</v>
      </c>
      <c r="DV91" t="s">
        <v>228</v>
      </c>
      <c r="DW91" t="s">
        <v>228</v>
      </c>
      <c r="DX91">
        <v>1</v>
      </c>
      <c r="EE91">
        <v>45269204</v>
      </c>
      <c r="EF91">
        <v>2</v>
      </c>
      <c r="EG91" t="s">
        <v>19</v>
      </c>
      <c r="EH91">
        <v>0</v>
      </c>
      <c r="EI91" t="s">
        <v>3</v>
      </c>
      <c r="EJ91">
        <v>1</v>
      </c>
      <c r="EK91">
        <v>17001</v>
      </c>
      <c r="EL91" t="s">
        <v>231</v>
      </c>
      <c r="EM91" t="s">
        <v>232</v>
      </c>
      <c r="EO91" t="s">
        <v>162</v>
      </c>
      <c r="EQ91">
        <v>0</v>
      </c>
      <c r="ER91">
        <v>5748.5</v>
      </c>
      <c r="ES91">
        <v>5482.96</v>
      </c>
      <c r="ET91">
        <v>46.49</v>
      </c>
      <c r="EU91">
        <v>3.87</v>
      </c>
      <c r="EV91">
        <v>219.05</v>
      </c>
      <c r="EW91">
        <v>24.64</v>
      </c>
      <c r="EX91">
        <v>0.32</v>
      </c>
      <c r="EY91">
        <v>0</v>
      </c>
      <c r="FQ91">
        <v>0</v>
      </c>
      <c r="FR91">
        <f t="shared" si="95"/>
        <v>0</v>
      </c>
      <c r="FS91">
        <v>0</v>
      </c>
      <c r="FT91" t="s">
        <v>22</v>
      </c>
      <c r="FU91" t="s">
        <v>23</v>
      </c>
      <c r="FX91">
        <v>80.64</v>
      </c>
      <c r="FY91">
        <v>63.494999999999997</v>
      </c>
      <c r="GA91" t="s">
        <v>3</v>
      </c>
      <c r="GD91">
        <v>0</v>
      </c>
      <c r="GF91">
        <v>-825101507</v>
      </c>
      <c r="GG91">
        <v>2</v>
      </c>
      <c r="GH91">
        <v>1</v>
      </c>
      <c r="GI91">
        <v>2</v>
      </c>
      <c r="GJ91">
        <v>0</v>
      </c>
      <c r="GK91">
        <f>ROUND(R91*(R12)/100,0)</f>
        <v>0</v>
      </c>
      <c r="GL91">
        <f t="shared" si="96"/>
        <v>0</v>
      </c>
      <c r="GM91">
        <f t="shared" si="97"/>
        <v>1353</v>
      </c>
      <c r="GN91">
        <f t="shared" si="98"/>
        <v>1353</v>
      </c>
      <c r="GO91">
        <f t="shared" si="99"/>
        <v>0</v>
      </c>
      <c r="GP91">
        <f t="shared" si="100"/>
        <v>0</v>
      </c>
      <c r="GR91">
        <v>0</v>
      </c>
      <c r="GS91">
        <v>3</v>
      </c>
      <c r="GT91">
        <v>0</v>
      </c>
      <c r="GU91" t="s">
        <v>3</v>
      </c>
      <c r="GV91">
        <f t="shared" si="101"/>
        <v>0</v>
      </c>
      <c r="GW91">
        <v>1</v>
      </c>
      <c r="GX91">
        <f t="shared" si="102"/>
        <v>0</v>
      </c>
      <c r="HA91">
        <v>0</v>
      </c>
      <c r="HB91">
        <v>0</v>
      </c>
      <c r="IK91">
        <v>0</v>
      </c>
    </row>
    <row r="92" spans="1:245">
      <c r="A92">
        <v>17</v>
      </c>
      <c r="B92">
        <v>1</v>
      </c>
      <c r="C92">
        <f>ROW(SmtRes!A201)</f>
        <v>201</v>
      </c>
      <c r="D92">
        <f>ROW(EtalonRes!A202)</f>
        <v>202</v>
      </c>
      <c r="E92" t="s">
        <v>237</v>
      </c>
      <c r="F92" t="s">
        <v>238</v>
      </c>
      <c r="G92" t="s">
        <v>239</v>
      </c>
      <c r="H92" t="s">
        <v>240</v>
      </c>
      <c r="I92">
        <f>ROUND(2.1/100,9)</f>
        <v>2.1000000000000001E-2</v>
      </c>
      <c r="J92">
        <v>0</v>
      </c>
      <c r="O92">
        <f t="shared" si="69"/>
        <v>3780</v>
      </c>
      <c r="P92">
        <f t="shared" si="70"/>
        <v>3052</v>
      </c>
      <c r="Q92">
        <f t="shared" si="71"/>
        <v>277</v>
      </c>
      <c r="R92">
        <f t="shared" si="72"/>
        <v>75</v>
      </c>
      <c r="S92">
        <f t="shared" si="73"/>
        <v>451</v>
      </c>
      <c r="T92">
        <f t="shared" si="74"/>
        <v>0</v>
      </c>
      <c r="U92">
        <f t="shared" si="75"/>
        <v>2.5183620000000002</v>
      </c>
      <c r="V92">
        <f t="shared" si="76"/>
        <v>0.29793750000000002</v>
      </c>
      <c r="W92">
        <f t="shared" si="77"/>
        <v>0</v>
      </c>
      <c r="X92">
        <f t="shared" si="78"/>
        <v>389</v>
      </c>
      <c r="Y92">
        <f t="shared" si="79"/>
        <v>252</v>
      </c>
      <c r="AA92">
        <v>48370320</v>
      </c>
      <c r="AB92">
        <f t="shared" si="80"/>
        <v>26356.62</v>
      </c>
      <c r="AC92">
        <f t="shared" ref="AC92:AC104" si="105">ROUND((ES92),2)</f>
        <v>23514.06</v>
      </c>
      <c r="AD92">
        <f>ROUND(((((ET92*1.25))-((EU92*1.25)))+AE92),2)</f>
        <v>1813.63</v>
      </c>
      <c r="AE92">
        <f>ROUND(((EU92*1.25)),2)</f>
        <v>171.68</v>
      </c>
      <c r="AF92">
        <f>ROUND(((EV92*1.15)),2)</f>
        <v>1028.93</v>
      </c>
      <c r="AG92">
        <f t="shared" si="82"/>
        <v>0</v>
      </c>
      <c r="AH92">
        <f>((EW92*1.15))</f>
        <v>119.922</v>
      </c>
      <c r="AI92">
        <f>((EX92*1.25))</f>
        <v>14.1875</v>
      </c>
      <c r="AJ92">
        <f t="shared" si="83"/>
        <v>0</v>
      </c>
      <c r="AK92">
        <v>25859.68</v>
      </c>
      <c r="AL92">
        <v>23514.06</v>
      </c>
      <c r="AM92">
        <v>1450.9</v>
      </c>
      <c r="AN92">
        <v>137.34</v>
      </c>
      <c r="AO92">
        <v>894.72</v>
      </c>
      <c r="AP92">
        <v>0</v>
      </c>
      <c r="AQ92">
        <v>104.28</v>
      </c>
      <c r="AR92">
        <v>11.35</v>
      </c>
      <c r="AS92">
        <v>0</v>
      </c>
      <c r="AT92">
        <v>74</v>
      </c>
      <c r="AU92">
        <v>48</v>
      </c>
      <c r="AV92">
        <v>1</v>
      </c>
      <c r="AW92">
        <v>1</v>
      </c>
      <c r="AZ92">
        <v>1</v>
      </c>
      <c r="BA92">
        <v>20.88</v>
      </c>
      <c r="BB92">
        <v>7.28</v>
      </c>
      <c r="BC92">
        <v>6.18</v>
      </c>
      <c r="BD92" t="s">
        <v>3</v>
      </c>
      <c r="BE92" t="s">
        <v>3</v>
      </c>
      <c r="BF92" t="s">
        <v>3</v>
      </c>
      <c r="BG92" t="s">
        <v>3</v>
      </c>
      <c r="BH92">
        <v>0</v>
      </c>
      <c r="BI92">
        <v>1</v>
      </c>
      <c r="BJ92" t="s">
        <v>241</v>
      </c>
      <c r="BM92">
        <v>10001</v>
      </c>
      <c r="BN92">
        <v>0</v>
      </c>
      <c r="BO92" t="s">
        <v>238</v>
      </c>
      <c r="BP92">
        <v>1</v>
      </c>
      <c r="BQ92">
        <v>2</v>
      </c>
      <c r="BR92">
        <v>0</v>
      </c>
      <c r="BS92">
        <v>20.88</v>
      </c>
      <c r="BT92">
        <v>1</v>
      </c>
      <c r="BU92">
        <v>1</v>
      </c>
      <c r="BV92">
        <v>1</v>
      </c>
      <c r="BW92">
        <v>1</v>
      </c>
      <c r="BX92">
        <v>1</v>
      </c>
      <c r="BY92" t="s">
        <v>3</v>
      </c>
      <c r="BZ92">
        <v>118</v>
      </c>
      <c r="CA92">
        <v>63</v>
      </c>
      <c r="CF92">
        <v>0</v>
      </c>
      <c r="CG92">
        <v>0</v>
      </c>
      <c r="CM92">
        <v>0</v>
      </c>
      <c r="CN92" t="s">
        <v>937</v>
      </c>
      <c r="CO92">
        <v>0</v>
      </c>
      <c r="CP92">
        <f t="shared" si="84"/>
        <v>3780</v>
      </c>
      <c r="CQ92">
        <f t="shared" si="85"/>
        <v>145316.89079999999</v>
      </c>
      <c r="CR92">
        <f t="shared" si="86"/>
        <v>13203.226400000001</v>
      </c>
      <c r="CS92">
        <f t="shared" si="87"/>
        <v>3584.6783999999998</v>
      </c>
      <c r="CT92">
        <f t="shared" si="88"/>
        <v>21484.058400000002</v>
      </c>
      <c r="CU92">
        <f t="shared" si="89"/>
        <v>0</v>
      </c>
      <c r="CV92">
        <f t="shared" si="90"/>
        <v>119.922</v>
      </c>
      <c r="CW92">
        <f t="shared" si="91"/>
        <v>14.1875</v>
      </c>
      <c r="CX92">
        <f t="shared" si="92"/>
        <v>0</v>
      </c>
      <c r="CY92">
        <f t="shared" si="93"/>
        <v>389.24</v>
      </c>
      <c r="CZ92">
        <f t="shared" si="94"/>
        <v>252.48</v>
      </c>
      <c r="DC92" t="s">
        <v>3</v>
      </c>
      <c r="DD92" t="s">
        <v>3</v>
      </c>
      <c r="DE92" t="s">
        <v>160</v>
      </c>
      <c r="DF92" t="s">
        <v>160</v>
      </c>
      <c r="DG92" t="s">
        <v>161</v>
      </c>
      <c r="DH92" t="s">
        <v>3</v>
      </c>
      <c r="DI92" t="s">
        <v>161</v>
      </c>
      <c r="DJ92" t="s">
        <v>160</v>
      </c>
      <c r="DK92" t="s">
        <v>3</v>
      </c>
      <c r="DL92" t="s">
        <v>3</v>
      </c>
      <c r="DM92" t="s">
        <v>3</v>
      </c>
      <c r="DN92">
        <v>0</v>
      </c>
      <c r="DO92">
        <v>0</v>
      </c>
      <c r="DP92">
        <v>1</v>
      </c>
      <c r="DQ92">
        <v>1</v>
      </c>
      <c r="DU92">
        <v>1013</v>
      </c>
      <c r="DV92" t="s">
        <v>240</v>
      </c>
      <c r="DW92" t="s">
        <v>240</v>
      </c>
      <c r="DX92">
        <v>1</v>
      </c>
      <c r="EE92">
        <v>45269176</v>
      </c>
      <c r="EF92">
        <v>2</v>
      </c>
      <c r="EG92" t="s">
        <v>19</v>
      </c>
      <c r="EH92">
        <v>0</v>
      </c>
      <c r="EI92" t="s">
        <v>3</v>
      </c>
      <c r="EJ92">
        <v>1</v>
      </c>
      <c r="EK92">
        <v>10001</v>
      </c>
      <c r="EL92" t="s">
        <v>242</v>
      </c>
      <c r="EM92" t="s">
        <v>243</v>
      </c>
      <c r="EO92" t="s">
        <v>162</v>
      </c>
      <c r="EQ92">
        <v>0</v>
      </c>
      <c r="ER92">
        <v>25859.68</v>
      </c>
      <c r="ES92">
        <v>23514.06</v>
      </c>
      <c r="ET92">
        <v>1450.9</v>
      </c>
      <c r="EU92">
        <v>137.34</v>
      </c>
      <c r="EV92">
        <v>894.72</v>
      </c>
      <c r="EW92">
        <v>104.28</v>
      </c>
      <c r="EX92">
        <v>11.35</v>
      </c>
      <c r="EY92">
        <v>0</v>
      </c>
      <c r="FQ92">
        <v>0</v>
      </c>
      <c r="FR92">
        <f t="shared" si="95"/>
        <v>0</v>
      </c>
      <c r="FS92">
        <v>0</v>
      </c>
      <c r="FT92" t="s">
        <v>22</v>
      </c>
      <c r="FU92" t="s">
        <v>23</v>
      </c>
      <c r="FX92">
        <v>74.34</v>
      </c>
      <c r="FY92">
        <v>48.195</v>
      </c>
      <c r="GA92" t="s">
        <v>3</v>
      </c>
      <c r="GD92">
        <v>0</v>
      </c>
      <c r="GF92">
        <v>-778954315</v>
      </c>
      <c r="GG92">
        <v>2</v>
      </c>
      <c r="GH92">
        <v>1</v>
      </c>
      <c r="GI92">
        <v>2</v>
      </c>
      <c r="GJ92">
        <v>0</v>
      </c>
      <c r="GK92">
        <f>ROUND(R92*(R12)/100,0)</f>
        <v>0</v>
      </c>
      <c r="GL92">
        <f t="shared" si="96"/>
        <v>0</v>
      </c>
      <c r="GM92">
        <f t="shared" si="97"/>
        <v>4421</v>
      </c>
      <c r="GN92">
        <f t="shared" si="98"/>
        <v>4421</v>
      </c>
      <c r="GO92">
        <f t="shared" si="99"/>
        <v>0</v>
      </c>
      <c r="GP92">
        <f t="shared" si="100"/>
        <v>0</v>
      </c>
      <c r="GR92">
        <v>0</v>
      </c>
      <c r="GS92">
        <v>3</v>
      </c>
      <c r="GT92">
        <v>0</v>
      </c>
      <c r="GU92" t="s">
        <v>3</v>
      </c>
      <c r="GV92">
        <f t="shared" si="101"/>
        <v>0</v>
      </c>
      <c r="GW92">
        <v>1</v>
      </c>
      <c r="GX92">
        <f t="shared" si="102"/>
        <v>0</v>
      </c>
      <c r="HA92">
        <v>0</v>
      </c>
      <c r="HB92">
        <v>0</v>
      </c>
      <c r="IK92">
        <v>0</v>
      </c>
    </row>
    <row r="93" spans="1:245">
      <c r="A93">
        <v>18</v>
      </c>
      <c r="B93">
        <v>1</v>
      </c>
      <c r="C93">
        <v>199</v>
      </c>
      <c r="E93" t="s">
        <v>244</v>
      </c>
      <c r="F93" t="s">
        <v>245</v>
      </c>
      <c r="G93" t="s">
        <v>246</v>
      </c>
      <c r="H93" t="s">
        <v>189</v>
      </c>
      <c r="I93">
        <f>I92*J93</f>
        <v>-2.1</v>
      </c>
      <c r="J93">
        <v>-100</v>
      </c>
      <c r="O93">
        <f t="shared" si="69"/>
        <v>-2769</v>
      </c>
      <c r="P93">
        <f t="shared" si="70"/>
        <v>-2769</v>
      </c>
      <c r="Q93">
        <f t="shared" si="71"/>
        <v>0</v>
      </c>
      <c r="R93">
        <f t="shared" si="72"/>
        <v>0</v>
      </c>
      <c r="S93">
        <f t="shared" si="73"/>
        <v>0</v>
      </c>
      <c r="T93">
        <f t="shared" si="74"/>
        <v>0</v>
      </c>
      <c r="U93">
        <f t="shared" si="75"/>
        <v>0</v>
      </c>
      <c r="V93">
        <f t="shared" si="76"/>
        <v>0</v>
      </c>
      <c r="W93">
        <f t="shared" si="77"/>
        <v>0</v>
      </c>
      <c r="X93">
        <f t="shared" si="78"/>
        <v>0</v>
      </c>
      <c r="Y93">
        <f t="shared" si="79"/>
        <v>0</v>
      </c>
      <c r="AA93">
        <v>48370320</v>
      </c>
      <c r="AB93">
        <f t="shared" si="80"/>
        <v>208.29</v>
      </c>
      <c r="AC93">
        <f t="shared" si="105"/>
        <v>208.29</v>
      </c>
      <c r="AD93">
        <f>ROUND((((ET93)-(EU93))+AE93),2)</f>
        <v>0</v>
      </c>
      <c r="AE93">
        <f t="shared" ref="AE93:AF95" si="106">ROUND((EU93),2)</f>
        <v>0</v>
      </c>
      <c r="AF93">
        <f t="shared" si="106"/>
        <v>0</v>
      </c>
      <c r="AG93">
        <f t="shared" si="82"/>
        <v>0</v>
      </c>
      <c r="AH93">
        <f t="shared" ref="AH93:AI95" si="107">(EW93)</f>
        <v>0</v>
      </c>
      <c r="AI93">
        <f t="shared" si="107"/>
        <v>0</v>
      </c>
      <c r="AJ93">
        <f t="shared" si="83"/>
        <v>0</v>
      </c>
      <c r="AK93">
        <v>208.29</v>
      </c>
      <c r="AL93">
        <v>208.29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74</v>
      </c>
      <c r="AU93">
        <v>48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6.33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247</v>
      </c>
      <c r="BM93">
        <v>10001</v>
      </c>
      <c r="BN93">
        <v>0</v>
      </c>
      <c r="BO93" t="s">
        <v>245</v>
      </c>
      <c r="BP93">
        <v>1</v>
      </c>
      <c r="BQ93">
        <v>2</v>
      </c>
      <c r="BR93">
        <v>1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118</v>
      </c>
      <c r="CA93">
        <v>63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84"/>
        <v>-2769</v>
      </c>
      <c r="CQ93">
        <f t="shared" si="85"/>
        <v>1318.4757</v>
      </c>
      <c r="CR93">
        <f t="shared" si="86"/>
        <v>0</v>
      </c>
      <c r="CS93">
        <f t="shared" si="87"/>
        <v>0</v>
      </c>
      <c r="CT93">
        <f t="shared" si="88"/>
        <v>0</v>
      </c>
      <c r="CU93">
        <f t="shared" si="89"/>
        <v>0</v>
      </c>
      <c r="CV93">
        <f t="shared" si="90"/>
        <v>0</v>
      </c>
      <c r="CW93">
        <f t="shared" si="91"/>
        <v>0</v>
      </c>
      <c r="CX93">
        <f t="shared" si="92"/>
        <v>0</v>
      </c>
      <c r="CY93">
        <f t="shared" si="93"/>
        <v>0</v>
      </c>
      <c r="CZ93">
        <f t="shared" si="94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1005</v>
      </c>
      <c r="DV93" t="s">
        <v>189</v>
      </c>
      <c r="DW93" t="s">
        <v>189</v>
      </c>
      <c r="DX93">
        <v>1</v>
      </c>
      <c r="EE93">
        <v>45269176</v>
      </c>
      <c r="EF93">
        <v>2</v>
      </c>
      <c r="EG93" t="s">
        <v>19</v>
      </c>
      <c r="EH93">
        <v>0</v>
      </c>
      <c r="EI93" t="s">
        <v>3</v>
      </c>
      <c r="EJ93">
        <v>1</v>
      </c>
      <c r="EK93">
        <v>10001</v>
      </c>
      <c r="EL93" t="s">
        <v>242</v>
      </c>
      <c r="EM93" t="s">
        <v>243</v>
      </c>
      <c r="EO93" t="s">
        <v>3</v>
      </c>
      <c r="EQ93">
        <v>0</v>
      </c>
      <c r="ER93">
        <v>208.29</v>
      </c>
      <c r="ES93">
        <v>208.29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95"/>
        <v>0</v>
      </c>
      <c r="FS93">
        <v>0</v>
      </c>
      <c r="FT93" t="s">
        <v>22</v>
      </c>
      <c r="FU93" t="s">
        <v>23</v>
      </c>
      <c r="FX93">
        <v>74.34</v>
      </c>
      <c r="FY93">
        <v>48.195</v>
      </c>
      <c r="GA93" t="s">
        <v>3</v>
      </c>
      <c r="GD93">
        <v>0</v>
      </c>
      <c r="GF93">
        <v>2099777272</v>
      </c>
      <c r="GG93">
        <v>2</v>
      </c>
      <c r="GH93">
        <v>1</v>
      </c>
      <c r="GI93">
        <v>2</v>
      </c>
      <c r="GJ93">
        <v>0</v>
      </c>
      <c r="GK93">
        <f>ROUND(R93*(R12)/100,0)</f>
        <v>0</v>
      </c>
      <c r="GL93">
        <f t="shared" si="96"/>
        <v>0</v>
      </c>
      <c r="GM93">
        <f t="shared" si="97"/>
        <v>-2769</v>
      </c>
      <c r="GN93">
        <f t="shared" si="98"/>
        <v>-2769</v>
      </c>
      <c r="GO93">
        <f t="shared" si="99"/>
        <v>0</v>
      </c>
      <c r="GP93">
        <f t="shared" si="100"/>
        <v>0</v>
      </c>
      <c r="GR93">
        <v>0</v>
      </c>
      <c r="GS93">
        <v>3</v>
      </c>
      <c r="GT93">
        <v>0</v>
      </c>
      <c r="GU93" t="s">
        <v>3</v>
      </c>
      <c r="GV93">
        <f t="shared" si="101"/>
        <v>0</v>
      </c>
      <c r="GW93">
        <v>1</v>
      </c>
      <c r="GX93">
        <f t="shared" si="102"/>
        <v>0</v>
      </c>
      <c r="HA93">
        <v>0</v>
      </c>
      <c r="HB93">
        <v>0</v>
      </c>
      <c r="IK93">
        <v>0</v>
      </c>
    </row>
    <row r="94" spans="1:245">
      <c r="A94">
        <v>17</v>
      </c>
      <c r="B94">
        <v>1</v>
      </c>
      <c r="E94" t="s">
        <v>248</v>
      </c>
      <c r="F94" t="s">
        <v>249</v>
      </c>
      <c r="G94" t="s">
        <v>250</v>
      </c>
      <c r="H94" t="s">
        <v>189</v>
      </c>
      <c r="I94">
        <v>2.1</v>
      </c>
      <c r="J94">
        <v>0</v>
      </c>
      <c r="O94">
        <f t="shared" si="69"/>
        <v>9727</v>
      </c>
      <c r="P94">
        <f t="shared" si="70"/>
        <v>9727</v>
      </c>
      <c r="Q94">
        <f t="shared" si="71"/>
        <v>0</v>
      </c>
      <c r="R94">
        <f t="shared" si="72"/>
        <v>0</v>
      </c>
      <c r="S94">
        <f t="shared" si="73"/>
        <v>0</v>
      </c>
      <c r="T94">
        <f t="shared" si="74"/>
        <v>0</v>
      </c>
      <c r="U94">
        <f t="shared" si="75"/>
        <v>0</v>
      </c>
      <c r="V94">
        <f t="shared" si="76"/>
        <v>0</v>
      </c>
      <c r="W94">
        <f t="shared" si="77"/>
        <v>0</v>
      </c>
      <c r="X94">
        <f t="shared" si="78"/>
        <v>0</v>
      </c>
      <c r="Y94">
        <f t="shared" si="79"/>
        <v>0</v>
      </c>
      <c r="AA94">
        <v>48370320</v>
      </c>
      <c r="AB94">
        <f t="shared" si="80"/>
        <v>1470.52</v>
      </c>
      <c r="AC94">
        <f t="shared" si="105"/>
        <v>1470.52</v>
      </c>
      <c r="AD94">
        <f>ROUND((((ET94)-(EU94))+AE94),2)</f>
        <v>0</v>
      </c>
      <c r="AE94">
        <f t="shared" si="106"/>
        <v>0</v>
      </c>
      <c r="AF94">
        <f t="shared" si="106"/>
        <v>0</v>
      </c>
      <c r="AG94">
        <f t="shared" si="82"/>
        <v>0</v>
      </c>
      <c r="AH94">
        <f t="shared" si="107"/>
        <v>0</v>
      </c>
      <c r="AI94">
        <f t="shared" si="107"/>
        <v>0</v>
      </c>
      <c r="AJ94">
        <f t="shared" si="83"/>
        <v>0</v>
      </c>
      <c r="AK94">
        <v>1470.52</v>
      </c>
      <c r="AL94">
        <v>1470.52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</v>
      </c>
      <c r="AW94">
        <v>1</v>
      </c>
      <c r="AZ94">
        <v>1</v>
      </c>
      <c r="BA94">
        <v>1</v>
      </c>
      <c r="BB94">
        <v>1</v>
      </c>
      <c r="BC94">
        <v>3.15</v>
      </c>
      <c r="BD94" t="s">
        <v>3</v>
      </c>
      <c r="BE94" t="s">
        <v>3</v>
      </c>
      <c r="BF94" t="s">
        <v>3</v>
      </c>
      <c r="BG94" t="s">
        <v>3</v>
      </c>
      <c r="BH94">
        <v>3</v>
      </c>
      <c r="BI94">
        <v>1</v>
      </c>
      <c r="BJ94" t="s">
        <v>251</v>
      </c>
      <c r="BM94">
        <v>500001</v>
      </c>
      <c r="BN94">
        <v>0</v>
      </c>
      <c r="BO94" t="s">
        <v>249</v>
      </c>
      <c r="BP94">
        <v>1</v>
      </c>
      <c r="BQ94">
        <v>8</v>
      </c>
      <c r="BR94">
        <v>0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Y94" t="s">
        <v>3</v>
      </c>
      <c r="BZ94">
        <v>0</v>
      </c>
      <c r="CA94">
        <v>0</v>
      </c>
      <c r="CF94">
        <v>0</v>
      </c>
      <c r="CG94">
        <v>0</v>
      </c>
      <c r="CM94">
        <v>0</v>
      </c>
      <c r="CN94" t="s">
        <v>3</v>
      </c>
      <c r="CO94">
        <v>0</v>
      </c>
      <c r="CP94">
        <f t="shared" si="84"/>
        <v>9727</v>
      </c>
      <c r="CQ94">
        <f t="shared" si="85"/>
        <v>4632.1379999999999</v>
      </c>
      <c r="CR94">
        <f t="shared" si="86"/>
        <v>0</v>
      </c>
      <c r="CS94">
        <f t="shared" si="87"/>
        <v>0</v>
      </c>
      <c r="CT94">
        <f t="shared" si="88"/>
        <v>0</v>
      </c>
      <c r="CU94">
        <f t="shared" si="89"/>
        <v>0</v>
      </c>
      <c r="CV94">
        <f t="shared" si="90"/>
        <v>0</v>
      </c>
      <c r="CW94">
        <f t="shared" si="91"/>
        <v>0</v>
      </c>
      <c r="CX94">
        <f t="shared" si="92"/>
        <v>0</v>
      </c>
      <c r="CY94">
        <f t="shared" si="93"/>
        <v>0</v>
      </c>
      <c r="CZ94">
        <f t="shared" si="94"/>
        <v>0</v>
      </c>
      <c r="DC94" t="s">
        <v>3</v>
      </c>
      <c r="DD94" t="s">
        <v>3</v>
      </c>
      <c r="DE94" t="s">
        <v>3</v>
      </c>
      <c r="DF94" t="s">
        <v>3</v>
      </c>
      <c r="DG94" t="s">
        <v>3</v>
      </c>
      <c r="DH94" t="s">
        <v>3</v>
      </c>
      <c r="DI94" t="s">
        <v>3</v>
      </c>
      <c r="DJ94" t="s">
        <v>3</v>
      </c>
      <c r="DK94" t="s">
        <v>3</v>
      </c>
      <c r="DL94" t="s">
        <v>3</v>
      </c>
      <c r="DM94" t="s">
        <v>3</v>
      </c>
      <c r="DN94">
        <v>0</v>
      </c>
      <c r="DO94">
        <v>0</v>
      </c>
      <c r="DP94">
        <v>1</v>
      </c>
      <c r="DQ94">
        <v>1</v>
      </c>
      <c r="DU94">
        <v>1005</v>
      </c>
      <c r="DV94" t="s">
        <v>189</v>
      </c>
      <c r="DW94" t="s">
        <v>189</v>
      </c>
      <c r="DX94">
        <v>1</v>
      </c>
      <c r="EE94">
        <v>45269109</v>
      </c>
      <c r="EF94">
        <v>8</v>
      </c>
      <c r="EG94" t="s">
        <v>174</v>
      </c>
      <c r="EH94">
        <v>0</v>
      </c>
      <c r="EI94" t="s">
        <v>3</v>
      </c>
      <c r="EJ94">
        <v>1</v>
      </c>
      <c r="EK94">
        <v>500001</v>
      </c>
      <c r="EL94" t="s">
        <v>175</v>
      </c>
      <c r="EM94" t="s">
        <v>176</v>
      </c>
      <c r="EO94" t="s">
        <v>3</v>
      </c>
      <c r="EQ94">
        <v>0</v>
      </c>
      <c r="ER94">
        <v>1470.52</v>
      </c>
      <c r="ES94">
        <v>1470.52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FQ94">
        <v>0</v>
      </c>
      <c r="FR94">
        <f t="shared" si="95"/>
        <v>0</v>
      </c>
      <c r="FS94">
        <v>0</v>
      </c>
      <c r="FX94">
        <v>0</v>
      </c>
      <c r="FY94">
        <v>0</v>
      </c>
      <c r="GA94" t="s">
        <v>3</v>
      </c>
      <c r="GD94">
        <v>0</v>
      </c>
      <c r="GF94">
        <v>-1841928206</v>
      </c>
      <c r="GG94">
        <v>2</v>
      </c>
      <c r="GH94">
        <v>1</v>
      </c>
      <c r="GI94">
        <v>2</v>
      </c>
      <c r="GJ94">
        <v>0</v>
      </c>
      <c r="GK94">
        <f>ROUND(R94*(R12)/100,0)</f>
        <v>0</v>
      </c>
      <c r="GL94">
        <f t="shared" si="96"/>
        <v>0</v>
      </c>
      <c r="GM94">
        <f t="shared" si="97"/>
        <v>9727</v>
      </c>
      <c r="GN94">
        <f t="shared" si="98"/>
        <v>9727</v>
      </c>
      <c r="GO94">
        <f t="shared" si="99"/>
        <v>0</v>
      </c>
      <c r="GP94">
        <f t="shared" si="100"/>
        <v>0</v>
      </c>
      <c r="GR94">
        <v>0</v>
      </c>
      <c r="GS94">
        <v>3</v>
      </c>
      <c r="GT94">
        <v>0</v>
      </c>
      <c r="GU94" t="s">
        <v>3</v>
      </c>
      <c r="GV94">
        <f t="shared" si="101"/>
        <v>0</v>
      </c>
      <c r="GW94">
        <v>1</v>
      </c>
      <c r="GX94">
        <f t="shared" si="102"/>
        <v>0</v>
      </c>
      <c r="HA94">
        <v>0</v>
      </c>
      <c r="HB94">
        <v>0</v>
      </c>
      <c r="IK94">
        <v>0</v>
      </c>
    </row>
    <row r="95" spans="1:245">
      <c r="A95">
        <v>17</v>
      </c>
      <c r="B95">
        <v>1</v>
      </c>
      <c r="E95" t="s">
        <v>252</v>
      </c>
      <c r="F95" t="s">
        <v>253</v>
      </c>
      <c r="G95" t="s">
        <v>254</v>
      </c>
      <c r="H95" t="s">
        <v>255</v>
      </c>
      <c r="I95">
        <v>1</v>
      </c>
      <c r="J95">
        <v>0</v>
      </c>
      <c r="O95">
        <f t="shared" si="69"/>
        <v>338</v>
      </c>
      <c r="P95">
        <f t="shared" si="70"/>
        <v>338</v>
      </c>
      <c r="Q95">
        <f t="shared" si="71"/>
        <v>0</v>
      </c>
      <c r="R95">
        <f t="shared" si="72"/>
        <v>0</v>
      </c>
      <c r="S95">
        <f t="shared" si="73"/>
        <v>0</v>
      </c>
      <c r="T95">
        <f t="shared" si="74"/>
        <v>0</v>
      </c>
      <c r="U95">
        <f t="shared" si="75"/>
        <v>0</v>
      </c>
      <c r="V95">
        <f t="shared" si="76"/>
        <v>0</v>
      </c>
      <c r="W95">
        <f t="shared" si="77"/>
        <v>0</v>
      </c>
      <c r="X95">
        <f t="shared" si="78"/>
        <v>0</v>
      </c>
      <c r="Y95">
        <f t="shared" si="79"/>
        <v>0</v>
      </c>
      <c r="AA95">
        <v>48370320</v>
      </c>
      <c r="AB95">
        <f t="shared" si="80"/>
        <v>75.7</v>
      </c>
      <c r="AC95">
        <f t="shared" si="105"/>
        <v>75.7</v>
      </c>
      <c r="AD95">
        <f>ROUND((((ET95)-(EU95))+AE95),2)</f>
        <v>0</v>
      </c>
      <c r="AE95">
        <f t="shared" si="106"/>
        <v>0</v>
      </c>
      <c r="AF95">
        <f t="shared" si="106"/>
        <v>0</v>
      </c>
      <c r="AG95">
        <f t="shared" si="82"/>
        <v>0</v>
      </c>
      <c r="AH95">
        <f t="shared" si="107"/>
        <v>0</v>
      </c>
      <c r="AI95">
        <f t="shared" si="107"/>
        <v>0</v>
      </c>
      <c r="AJ95">
        <f t="shared" si="83"/>
        <v>0</v>
      </c>
      <c r="AK95">
        <v>75.7</v>
      </c>
      <c r="AL95">
        <v>75.7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4.47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256</v>
      </c>
      <c r="BM95">
        <v>500001</v>
      </c>
      <c r="BN95">
        <v>0</v>
      </c>
      <c r="BO95" t="s">
        <v>253</v>
      </c>
      <c r="BP95">
        <v>1</v>
      </c>
      <c r="BQ95">
        <v>8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84"/>
        <v>338</v>
      </c>
      <c r="CQ95">
        <f t="shared" si="85"/>
        <v>338.37900000000002</v>
      </c>
      <c r="CR95">
        <f t="shared" si="86"/>
        <v>0</v>
      </c>
      <c r="CS95">
        <f t="shared" si="87"/>
        <v>0</v>
      </c>
      <c r="CT95">
        <f t="shared" si="88"/>
        <v>0</v>
      </c>
      <c r="CU95">
        <f t="shared" si="89"/>
        <v>0</v>
      </c>
      <c r="CV95">
        <f t="shared" si="90"/>
        <v>0</v>
      </c>
      <c r="CW95">
        <f t="shared" si="91"/>
        <v>0</v>
      </c>
      <c r="CX95">
        <f t="shared" si="92"/>
        <v>0</v>
      </c>
      <c r="CY95">
        <f t="shared" si="93"/>
        <v>0</v>
      </c>
      <c r="CZ95">
        <f t="shared" si="94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255</v>
      </c>
      <c r="DW95" t="s">
        <v>255</v>
      </c>
      <c r="DX95">
        <v>1</v>
      </c>
      <c r="EE95">
        <v>45269109</v>
      </c>
      <c r="EF95">
        <v>8</v>
      </c>
      <c r="EG95" t="s">
        <v>174</v>
      </c>
      <c r="EH95">
        <v>0</v>
      </c>
      <c r="EI95" t="s">
        <v>3</v>
      </c>
      <c r="EJ95">
        <v>1</v>
      </c>
      <c r="EK95">
        <v>500001</v>
      </c>
      <c r="EL95" t="s">
        <v>175</v>
      </c>
      <c r="EM95" t="s">
        <v>176</v>
      </c>
      <c r="EO95" t="s">
        <v>3</v>
      </c>
      <c r="EQ95">
        <v>0</v>
      </c>
      <c r="ER95">
        <v>75.7</v>
      </c>
      <c r="ES95">
        <v>75.7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FQ95">
        <v>0</v>
      </c>
      <c r="FR95">
        <f t="shared" si="95"/>
        <v>0</v>
      </c>
      <c r="FS95">
        <v>0</v>
      </c>
      <c r="FX95">
        <v>0</v>
      </c>
      <c r="FY95">
        <v>0</v>
      </c>
      <c r="GA95" t="s">
        <v>3</v>
      </c>
      <c r="GD95">
        <v>0</v>
      </c>
      <c r="GF95">
        <v>404293889</v>
      </c>
      <c r="GG95">
        <v>2</v>
      </c>
      <c r="GH95">
        <v>1</v>
      </c>
      <c r="GI95">
        <v>2</v>
      </c>
      <c r="GJ95">
        <v>0</v>
      </c>
      <c r="GK95">
        <f>ROUND(R95*(R12)/100,0)</f>
        <v>0</v>
      </c>
      <c r="GL95">
        <f t="shared" si="96"/>
        <v>0</v>
      </c>
      <c r="GM95">
        <f t="shared" si="97"/>
        <v>338</v>
      </c>
      <c r="GN95">
        <f t="shared" si="98"/>
        <v>338</v>
      </c>
      <c r="GO95">
        <f t="shared" si="99"/>
        <v>0</v>
      </c>
      <c r="GP95">
        <f t="shared" si="100"/>
        <v>0</v>
      </c>
      <c r="GR95">
        <v>0</v>
      </c>
      <c r="GS95">
        <v>3</v>
      </c>
      <c r="GT95">
        <v>0</v>
      </c>
      <c r="GU95" t="s">
        <v>3</v>
      </c>
      <c r="GV95">
        <f t="shared" si="101"/>
        <v>0</v>
      </c>
      <c r="GW95">
        <v>1</v>
      </c>
      <c r="GX95">
        <f t="shared" si="102"/>
        <v>0</v>
      </c>
      <c r="HA95">
        <v>0</v>
      </c>
      <c r="HB95">
        <v>0</v>
      </c>
      <c r="IK95">
        <v>0</v>
      </c>
    </row>
    <row r="96" spans="1:245">
      <c r="A96">
        <v>17</v>
      </c>
      <c r="B96">
        <v>1</v>
      </c>
      <c r="C96">
        <f>ROW(SmtRes!A205)</f>
        <v>205</v>
      </c>
      <c r="D96">
        <f>ROW(EtalonRes!A206)</f>
        <v>206</v>
      </c>
      <c r="E96" t="s">
        <v>257</v>
      </c>
      <c r="F96" t="s">
        <v>258</v>
      </c>
      <c r="G96" t="s">
        <v>259</v>
      </c>
      <c r="H96" t="s">
        <v>260</v>
      </c>
      <c r="I96">
        <f>ROUND(5.2/100,9)</f>
        <v>5.1999999999999998E-2</v>
      </c>
      <c r="J96">
        <v>0</v>
      </c>
      <c r="O96">
        <f t="shared" si="69"/>
        <v>366</v>
      </c>
      <c r="P96">
        <f t="shared" si="70"/>
        <v>289</v>
      </c>
      <c r="Q96">
        <f t="shared" si="71"/>
        <v>2</v>
      </c>
      <c r="R96">
        <f t="shared" si="72"/>
        <v>0</v>
      </c>
      <c r="S96">
        <f t="shared" si="73"/>
        <v>75</v>
      </c>
      <c r="T96">
        <f t="shared" si="74"/>
        <v>0</v>
      </c>
      <c r="U96">
        <f t="shared" si="75"/>
        <v>0.467636</v>
      </c>
      <c r="V96">
        <f t="shared" si="76"/>
        <v>0</v>
      </c>
      <c r="W96">
        <f t="shared" si="77"/>
        <v>0</v>
      </c>
      <c r="X96">
        <f t="shared" si="78"/>
        <v>56</v>
      </c>
      <c r="Y96">
        <f t="shared" si="79"/>
        <v>36</v>
      </c>
      <c r="AA96">
        <v>48370320</v>
      </c>
      <c r="AB96">
        <f t="shared" si="80"/>
        <v>525.91</v>
      </c>
      <c r="AC96">
        <f t="shared" si="105"/>
        <v>452.7</v>
      </c>
      <c r="AD96">
        <f>ROUND(((((ET96*1.25))-((EU96*1.25)))+AE96),2)</f>
        <v>4.59</v>
      </c>
      <c r="AE96">
        <f>ROUND(((EU96*1.25)),2)</f>
        <v>0</v>
      </c>
      <c r="AF96">
        <f>ROUND(((EV96*1.15)),2)</f>
        <v>68.62</v>
      </c>
      <c r="AG96">
        <f t="shared" si="82"/>
        <v>0</v>
      </c>
      <c r="AH96">
        <f>((EW96*1.15))</f>
        <v>8.9930000000000003</v>
      </c>
      <c r="AI96">
        <f>((EX96*1.25))</f>
        <v>0</v>
      </c>
      <c r="AJ96">
        <f t="shared" si="83"/>
        <v>0</v>
      </c>
      <c r="AK96">
        <v>516.04</v>
      </c>
      <c r="AL96">
        <v>452.7</v>
      </c>
      <c r="AM96">
        <v>3.67</v>
      </c>
      <c r="AN96">
        <v>0</v>
      </c>
      <c r="AO96">
        <v>59.67</v>
      </c>
      <c r="AP96">
        <v>0</v>
      </c>
      <c r="AQ96">
        <v>7.82</v>
      </c>
      <c r="AR96">
        <v>0</v>
      </c>
      <c r="AS96">
        <v>0</v>
      </c>
      <c r="AT96">
        <v>74</v>
      </c>
      <c r="AU96">
        <v>48</v>
      </c>
      <c r="AV96">
        <v>1</v>
      </c>
      <c r="AW96">
        <v>1</v>
      </c>
      <c r="AZ96">
        <v>1</v>
      </c>
      <c r="BA96">
        <v>20.88</v>
      </c>
      <c r="BB96">
        <v>9.1999999999999993</v>
      </c>
      <c r="BC96">
        <v>12.28</v>
      </c>
      <c r="BD96" t="s">
        <v>3</v>
      </c>
      <c r="BE96" t="s">
        <v>3</v>
      </c>
      <c r="BF96" t="s">
        <v>3</v>
      </c>
      <c r="BG96" t="s">
        <v>3</v>
      </c>
      <c r="BH96">
        <v>0</v>
      </c>
      <c r="BI96">
        <v>1</v>
      </c>
      <c r="BJ96" t="s">
        <v>261</v>
      </c>
      <c r="BM96">
        <v>10001</v>
      </c>
      <c r="BN96">
        <v>0</v>
      </c>
      <c r="BO96" t="s">
        <v>258</v>
      </c>
      <c r="BP96">
        <v>1</v>
      </c>
      <c r="BQ96">
        <v>2</v>
      </c>
      <c r="BR96">
        <v>0</v>
      </c>
      <c r="BS96">
        <v>20.88</v>
      </c>
      <c r="BT96">
        <v>1</v>
      </c>
      <c r="BU96">
        <v>1</v>
      </c>
      <c r="BV96">
        <v>1</v>
      </c>
      <c r="BW96">
        <v>1</v>
      </c>
      <c r="BX96">
        <v>1</v>
      </c>
      <c r="BY96" t="s">
        <v>3</v>
      </c>
      <c r="BZ96">
        <v>118</v>
      </c>
      <c r="CA96">
        <v>63</v>
      </c>
      <c r="CF96">
        <v>0</v>
      </c>
      <c r="CG96">
        <v>0</v>
      </c>
      <c r="CM96">
        <v>0</v>
      </c>
      <c r="CN96" t="s">
        <v>937</v>
      </c>
      <c r="CO96">
        <v>0</v>
      </c>
      <c r="CP96">
        <f t="shared" si="84"/>
        <v>366</v>
      </c>
      <c r="CQ96">
        <f t="shared" si="85"/>
        <v>5559.1559999999999</v>
      </c>
      <c r="CR96">
        <f t="shared" si="86"/>
        <v>42.227999999999994</v>
      </c>
      <c r="CS96">
        <f t="shared" si="87"/>
        <v>0</v>
      </c>
      <c r="CT96">
        <f t="shared" si="88"/>
        <v>1432.7855999999999</v>
      </c>
      <c r="CU96">
        <f t="shared" si="89"/>
        <v>0</v>
      </c>
      <c r="CV96">
        <f t="shared" si="90"/>
        <v>8.9930000000000003</v>
      </c>
      <c r="CW96">
        <f t="shared" si="91"/>
        <v>0</v>
      </c>
      <c r="CX96">
        <f t="shared" si="92"/>
        <v>0</v>
      </c>
      <c r="CY96">
        <f t="shared" si="93"/>
        <v>55.5</v>
      </c>
      <c r="CZ96">
        <f t="shared" si="94"/>
        <v>36</v>
      </c>
      <c r="DC96" t="s">
        <v>3</v>
      </c>
      <c r="DD96" t="s">
        <v>3</v>
      </c>
      <c r="DE96" t="s">
        <v>160</v>
      </c>
      <c r="DF96" t="s">
        <v>160</v>
      </c>
      <c r="DG96" t="s">
        <v>161</v>
      </c>
      <c r="DH96" t="s">
        <v>3</v>
      </c>
      <c r="DI96" t="s">
        <v>161</v>
      </c>
      <c r="DJ96" t="s">
        <v>160</v>
      </c>
      <c r="DK96" t="s">
        <v>3</v>
      </c>
      <c r="DL96" t="s">
        <v>3</v>
      </c>
      <c r="DM96" t="s">
        <v>3</v>
      </c>
      <c r="DN96">
        <v>0</v>
      </c>
      <c r="DO96">
        <v>0</v>
      </c>
      <c r="DP96">
        <v>1</v>
      </c>
      <c r="DQ96">
        <v>1</v>
      </c>
      <c r="DU96">
        <v>1013</v>
      </c>
      <c r="DV96" t="s">
        <v>260</v>
      </c>
      <c r="DW96" t="s">
        <v>260</v>
      </c>
      <c r="DX96">
        <v>1</v>
      </c>
      <c r="EE96">
        <v>45269176</v>
      </c>
      <c r="EF96">
        <v>2</v>
      </c>
      <c r="EG96" t="s">
        <v>19</v>
      </c>
      <c r="EH96">
        <v>0</v>
      </c>
      <c r="EI96" t="s">
        <v>3</v>
      </c>
      <c r="EJ96">
        <v>1</v>
      </c>
      <c r="EK96">
        <v>10001</v>
      </c>
      <c r="EL96" t="s">
        <v>242</v>
      </c>
      <c r="EM96" t="s">
        <v>243</v>
      </c>
      <c r="EO96" t="s">
        <v>162</v>
      </c>
      <c r="EQ96">
        <v>0</v>
      </c>
      <c r="ER96">
        <v>516.04</v>
      </c>
      <c r="ES96">
        <v>452.7</v>
      </c>
      <c r="ET96">
        <v>3.67</v>
      </c>
      <c r="EU96">
        <v>0</v>
      </c>
      <c r="EV96">
        <v>59.67</v>
      </c>
      <c r="EW96">
        <v>7.82</v>
      </c>
      <c r="EX96">
        <v>0</v>
      </c>
      <c r="EY96">
        <v>0</v>
      </c>
      <c r="FQ96">
        <v>0</v>
      </c>
      <c r="FR96">
        <f t="shared" si="95"/>
        <v>0</v>
      </c>
      <c r="FS96">
        <v>0</v>
      </c>
      <c r="FT96" t="s">
        <v>22</v>
      </c>
      <c r="FU96" t="s">
        <v>23</v>
      </c>
      <c r="FX96">
        <v>74.34</v>
      </c>
      <c r="FY96">
        <v>48.195</v>
      </c>
      <c r="GA96" t="s">
        <v>3</v>
      </c>
      <c r="GD96">
        <v>0</v>
      </c>
      <c r="GF96">
        <v>-699348485</v>
      </c>
      <c r="GG96">
        <v>2</v>
      </c>
      <c r="GH96">
        <v>1</v>
      </c>
      <c r="GI96">
        <v>2</v>
      </c>
      <c r="GJ96">
        <v>0</v>
      </c>
      <c r="GK96">
        <f>ROUND(R96*(R12)/100,0)</f>
        <v>0</v>
      </c>
      <c r="GL96">
        <f t="shared" si="96"/>
        <v>0</v>
      </c>
      <c r="GM96">
        <f t="shared" si="97"/>
        <v>458</v>
      </c>
      <c r="GN96">
        <f t="shared" si="98"/>
        <v>458</v>
      </c>
      <c r="GO96">
        <f t="shared" si="99"/>
        <v>0</v>
      </c>
      <c r="GP96">
        <f t="shared" si="100"/>
        <v>0</v>
      </c>
      <c r="GR96">
        <v>0</v>
      </c>
      <c r="GS96">
        <v>3</v>
      </c>
      <c r="GT96">
        <v>0</v>
      </c>
      <c r="GU96" t="s">
        <v>3</v>
      </c>
      <c r="GV96">
        <f t="shared" si="101"/>
        <v>0</v>
      </c>
      <c r="GW96">
        <v>1</v>
      </c>
      <c r="GX96">
        <f t="shared" si="102"/>
        <v>0</v>
      </c>
      <c r="HA96">
        <v>0</v>
      </c>
      <c r="HB96">
        <v>0</v>
      </c>
      <c r="IK96">
        <v>0</v>
      </c>
    </row>
    <row r="97" spans="1:245">
      <c r="A97">
        <v>17</v>
      </c>
      <c r="B97">
        <v>1</v>
      </c>
      <c r="C97">
        <f>ROW(SmtRes!A213)</f>
        <v>213</v>
      </c>
      <c r="D97">
        <f>ROW(EtalonRes!A214)</f>
        <v>214</v>
      </c>
      <c r="E97" t="s">
        <v>262</v>
      </c>
      <c r="F97" t="s">
        <v>263</v>
      </c>
      <c r="G97" t="s">
        <v>264</v>
      </c>
      <c r="H97" t="s">
        <v>265</v>
      </c>
      <c r="I97">
        <v>1</v>
      </c>
      <c r="J97">
        <v>0</v>
      </c>
      <c r="O97">
        <f t="shared" si="69"/>
        <v>270</v>
      </c>
      <c r="P97">
        <f t="shared" si="70"/>
        <v>4</v>
      </c>
      <c r="Q97">
        <f t="shared" si="71"/>
        <v>19</v>
      </c>
      <c r="R97">
        <f t="shared" si="72"/>
        <v>0</v>
      </c>
      <c r="S97">
        <f t="shared" si="73"/>
        <v>247</v>
      </c>
      <c r="T97">
        <f t="shared" si="74"/>
        <v>0</v>
      </c>
      <c r="U97">
        <f t="shared" si="75"/>
        <v>1.2765</v>
      </c>
      <c r="V97">
        <f t="shared" si="76"/>
        <v>0</v>
      </c>
      <c r="W97">
        <f t="shared" si="77"/>
        <v>0</v>
      </c>
      <c r="X97">
        <f t="shared" si="78"/>
        <v>141</v>
      </c>
      <c r="Y97">
        <f t="shared" si="79"/>
        <v>161</v>
      </c>
      <c r="AA97">
        <v>48370320</v>
      </c>
      <c r="AB97">
        <f t="shared" si="80"/>
        <v>15.76</v>
      </c>
      <c r="AC97">
        <f t="shared" si="105"/>
        <v>0.68</v>
      </c>
      <c r="AD97">
        <f>ROUND(((((ET97*1.25))-((EU97*1.25)))+AE97),2)</f>
        <v>3.25</v>
      </c>
      <c r="AE97">
        <f>ROUND(((EU97*1.25)),2)</f>
        <v>0</v>
      </c>
      <c r="AF97">
        <f>ROUND(((EV97*1.15)),2)</f>
        <v>11.83</v>
      </c>
      <c r="AG97">
        <f t="shared" si="82"/>
        <v>0</v>
      </c>
      <c r="AH97">
        <f>((EW97*1.15))</f>
        <v>1.2765</v>
      </c>
      <c r="AI97">
        <f>((EX97*1.25))</f>
        <v>0</v>
      </c>
      <c r="AJ97">
        <f t="shared" si="83"/>
        <v>0</v>
      </c>
      <c r="AK97">
        <v>13.57</v>
      </c>
      <c r="AL97">
        <v>0.68</v>
      </c>
      <c r="AM97">
        <v>2.6</v>
      </c>
      <c r="AN97">
        <v>0</v>
      </c>
      <c r="AO97">
        <v>10.29</v>
      </c>
      <c r="AP97">
        <v>0</v>
      </c>
      <c r="AQ97">
        <v>1.1100000000000001</v>
      </c>
      <c r="AR97">
        <v>0</v>
      </c>
      <c r="AS97">
        <v>0</v>
      </c>
      <c r="AT97">
        <v>57</v>
      </c>
      <c r="AU97">
        <v>65</v>
      </c>
      <c r="AV97">
        <v>1</v>
      </c>
      <c r="AW97">
        <v>1</v>
      </c>
      <c r="AZ97">
        <v>1</v>
      </c>
      <c r="BA97">
        <v>20.88</v>
      </c>
      <c r="BB97">
        <v>5.95</v>
      </c>
      <c r="BC97">
        <v>5.37</v>
      </c>
      <c r="BD97" t="s">
        <v>3</v>
      </c>
      <c r="BE97" t="s">
        <v>3</v>
      </c>
      <c r="BF97" t="s">
        <v>3</v>
      </c>
      <c r="BG97" t="s">
        <v>3</v>
      </c>
      <c r="BH97">
        <v>0</v>
      </c>
      <c r="BI97">
        <v>1</v>
      </c>
      <c r="BJ97" t="s">
        <v>266</v>
      </c>
      <c r="BM97">
        <v>9001</v>
      </c>
      <c r="BN97">
        <v>0</v>
      </c>
      <c r="BO97" t="s">
        <v>263</v>
      </c>
      <c r="BP97">
        <v>1</v>
      </c>
      <c r="BQ97">
        <v>2</v>
      </c>
      <c r="BR97">
        <v>0</v>
      </c>
      <c r="BS97">
        <v>20.88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3</v>
      </c>
      <c r="BZ97">
        <v>90</v>
      </c>
      <c r="CA97">
        <v>85</v>
      </c>
      <c r="CF97">
        <v>0</v>
      </c>
      <c r="CG97">
        <v>0</v>
      </c>
      <c r="CM97">
        <v>0</v>
      </c>
      <c r="CN97" t="s">
        <v>937</v>
      </c>
      <c r="CO97">
        <v>0</v>
      </c>
      <c r="CP97">
        <f t="shared" si="84"/>
        <v>270</v>
      </c>
      <c r="CQ97">
        <f t="shared" si="85"/>
        <v>3.6516000000000002</v>
      </c>
      <c r="CR97">
        <f t="shared" si="86"/>
        <v>19.337500000000002</v>
      </c>
      <c r="CS97">
        <f t="shared" si="87"/>
        <v>0</v>
      </c>
      <c r="CT97">
        <f t="shared" si="88"/>
        <v>247.01039999999998</v>
      </c>
      <c r="CU97">
        <f t="shared" si="89"/>
        <v>0</v>
      </c>
      <c r="CV97">
        <f t="shared" si="90"/>
        <v>1.2765</v>
      </c>
      <c r="CW97">
        <f t="shared" si="91"/>
        <v>0</v>
      </c>
      <c r="CX97">
        <f t="shared" si="92"/>
        <v>0</v>
      </c>
      <c r="CY97">
        <f t="shared" si="93"/>
        <v>140.79</v>
      </c>
      <c r="CZ97">
        <f t="shared" si="94"/>
        <v>160.55000000000001</v>
      </c>
      <c r="DC97" t="s">
        <v>3</v>
      </c>
      <c r="DD97" t="s">
        <v>3</v>
      </c>
      <c r="DE97" t="s">
        <v>160</v>
      </c>
      <c r="DF97" t="s">
        <v>160</v>
      </c>
      <c r="DG97" t="s">
        <v>161</v>
      </c>
      <c r="DH97" t="s">
        <v>3</v>
      </c>
      <c r="DI97" t="s">
        <v>161</v>
      </c>
      <c r="DJ97" t="s">
        <v>160</v>
      </c>
      <c r="DK97" t="s">
        <v>3</v>
      </c>
      <c r="DL97" t="s">
        <v>3</v>
      </c>
      <c r="DM97" t="s">
        <v>3</v>
      </c>
      <c r="DN97">
        <v>0</v>
      </c>
      <c r="DO97">
        <v>0</v>
      </c>
      <c r="DP97">
        <v>1</v>
      </c>
      <c r="DQ97">
        <v>1</v>
      </c>
      <c r="DU97">
        <v>1013</v>
      </c>
      <c r="DV97" t="s">
        <v>265</v>
      </c>
      <c r="DW97" t="s">
        <v>265</v>
      </c>
      <c r="DX97">
        <v>1</v>
      </c>
      <c r="EE97">
        <v>45269175</v>
      </c>
      <c r="EF97">
        <v>2</v>
      </c>
      <c r="EG97" t="s">
        <v>19</v>
      </c>
      <c r="EH97">
        <v>0</v>
      </c>
      <c r="EI97" t="s">
        <v>3</v>
      </c>
      <c r="EJ97">
        <v>1</v>
      </c>
      <c r="EK97">
        <v>9001</v>
      </c>
      <c r="EL97" t="s">
        <v>267</v>
      </c>
      <c r="EM97" t="s">
        <v>268</v>
      </c>
      <c r="EO97" t="s">
        <v>162</v>
      </c>
      <c r="EQ97">
        <v>0</v>
      </c>
      <c r="ER97">
        <v>13.57</v>
      </c>
      <c r="ES97">
        <v>0.68</v>
      </c>
      <c r="ET97">
        <v>2.6</v>
      </c>
      <c r="EU97">
        <v>0</v>
      </c>
      <c r="EV97">
        <v>10.29</v>
      </c>
      <c r="EW97">
        <v>1.1100000000000001</v>
      </c>
      <c r="EX97">
        <v>0</v>
      </c>
      <c r="EY97">
        <v>0</v>
      </c>
      <c r="FQ97">
        <v>0</v>
      </c>
      <c r="FR97">
        <f t="shared" si="95"/>
        <v>0</v>
      </c>
      <c r="FS97">
        <v>0</v>
      </c>
      <c r="FT97" t="s">
        <v>22</v>
      </c>
      <c r="FU97" t="s">
        <v>23</v>
      </c>
      <c r="FX97">
        <v>56.7</v>
      </c>
      <c r="FY97">
        <v>65.025000000000006</v>
      </c>
      <c r="GA97" t="s">
        <v>3</v>
      </c>
      <c r="GD97">
        <v>0</v>
      </c>
      <c r="GF97">
        <v>685246328</v>
      </c>
      <c r="GG97">
        <v>2</v>
      </c>
      <c r="GH97">
        <v>1</v>
      </c>
      <c r="GI97">
        <v>2</v>
      </c>
      <c r="GJ97">
        <v>0</v>
      </c>
      <c r="GK97">
        <f>ROUND(R97*(R12)/100,0)</f>
        <v>0</v>
      </c>
      <c r="GL97">
        <f t="shared" si="96"/>
        <v>0</v>
      </c>
      <c r="GM97">
        <f t="shared" si="97"/>
        <v>572</v>
      </c>
      <c r="GN97">
        <f t="shared" si="98"/>
        <v>572</v>
      </c>
      <c r="GO97">
        <f t="shared" si="99"/>
        <v>0</v>
      </c>
      <c r="GP97">
        <f t="shared" si="100"/>
        <v>0</v>
      </c>
      <c r="GR97">
        <v>0</v>
      </c>
      <c r="GS97">
        <v>3</v>
      </c>
      <c r="GT97">
        <v>0</v>
      </c>
      <c r="GU97" t="s">
        <v>3</v>
      </c>
      <c r="GV97">
        <f t="shared" si="101"/>
        <v>0</v>
      </c>
      <c r="GW97">
        <v>1</v>
      </c>
      <c r="GX97">
        <f t="shared" si="102"/>
        <v>0</v>
      </c>
      <c r="HA97">
        <v>0</v>
      </c>
      <c r="HB97">
        <v>0</v>
      </c>
      <c r="IK97">
        <v>0</v>
      </c>
    </row>
    <row r="98" spans="1:245">
      <c r="A98">
        <v>17</v>
      </c>
      <c r="B98">
        <v>1</v>
      </c>
      <c r="E98" t="s">
        <v>269</v>
      </c>
      <c r="F98" t="s">
        <v>270</v>
      </c>
      <c r="G98" t="s">
        <v>271</v>
      </c>
      <c r="H98" t="s">
        <v>220</v>
      </c>
      <c r="I98">
        <v>1</v>
      </c>
      <c r="J98">
        <v>0</v>
      </c>
      <c r="O98">
        <f t="shared" si="69"/>
        <v>3894</v>
      </c>
      <c r="P98">
        <f t="shared" si="70"/>
        <v>3894</v>
      </c>
      <c r="Q98">
        <f t="shared" si="71"/>
        <v>0</v>
      </c>
      <c r="R98">
        <f t="shared" si="72"/>
        <v>0</v>
      </c>
      <c r="S98">
        <f t="shared" si="73"/>
        <v>0</v>
      </c>
      <c r="T98">
        <f t="shared" si="74"/>
        <v>0</v>
      </c>
      <c r="U98">
        <f t="shared" si="75"/>
        <v>0</v>
      </c>
      <c r="V98">
        <f t="shared" si="76"/>
        <v>0</v>
      </c>
      <c r="W98">
        <f t="shared" si="77"/>
        <v>0</v>
      </c>
      <c r="X98">
        <f t="shared" si="78"/>
        <v>0</v>
      </c>
      <c r="Y98">
        <f t="shared" si="79"/>
        <v>0</v>
      </c>
      <c r="AA98">
        <v>48370320</v>
      </c>
      <c r="AB98">
        <f t="shared" si="80"/>
        <v>1066.9000000000001</v>
      </c>
      <c r="AC98">
        <f t="shared" si="105"/>
        <v>1066.9000000000001</v>
      </c>
      <c r="AD98">
        <f>ROUND((((ET98)-(EU98))+AE98),2)</f>
        <v>0</v>
      </c>
      <c r="AE98">
        <f>ROUND((EU98),2)</f>
        <v>0</v>
      </c>
      <c r="AF98">
        <f>ROUND((EV98),2)</f>
        <v>0</v>
      </c>
      <c r="AG98">
        <f t="shared" si="82"/>
        <v>0</v>
      </c>
      <c r="AH98">
        <f>(EW98)</f>
        <v>0</v>
      </c>
      <c r="AI98">
        <f>(EX98)</f>
        <v>0</v>
      </c>
      <c r="AJ98">
        <f t="shared" si="83"/>
        <v>0</v>
      </c>
      <c r="AK98">
        <v>1066.9000000000001</v>
      </c>
      <c r="AL98">
        <v>1066.9000000000001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1</v>
      </c>
      <c r="AW98">
        <v>1</v>
      </c>
      <c r="AZ98">
        <v>1</v>
      </c>
      <c r="BA98">
        <v>1</v>
      </c>
      <c r="BB98">
        <v>1</v>
      </c>
      <c r="BC98">
        <v>3.65</v>
      </c>
      <c r="BD98" t="s">
        <v>3</v>
      </c>
      <c r="BE98" t="s">
        <v>3</v>
      </c>
      <c r="BF98" t="s">
        <v>3</v>
      </c>
      <c r="BG98" t="s">
        <v>3</v>
      </c>
      <c r="BH98">
        <v>3</v>
      </c>
      <c r="BI98">
        <v>1</v>
      </c>
      <c r="BJ98" t="s">
        <v>272</v>
      </c>
      <c r="BM98">
        <v>500001</v>
      </c>
      <c r="BN98">
        <v>0</v>
      </c>
      <c r="BO98" t="s">
        <v>273</v>
      </c>
      <c r="BP98">
        <v>1</v>
      </c>
      <c r="BQ98">
        <v>8</v>
      </c>
      <c r="BR98">
        <v>0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Y98" t="s">
        <v>3</v>
      </c>
      <c r="BZ98">
        <v>0</v>
      </c>
      <c r="CA98">
        <v>0</v>
      </c>
      <c r="CF98">
        <v>0</v>
      </c>
      <c r="CG98">
        <v>0</v>
      </c>
      <c r="CM98">
        <v>0</v>
      </c>
      <c r="CN98" t="s">
        <v>3</v>
      </c>
      <c r="CO98">
        <v>0</v>
      </c>
      <c r="CP98">
        <f t="shared" si="84"/>
        <v>3894</v>
      </c>
      <c r="CQ98">
        <f t="shared" si="85"/>
        <v>3894.1850000000004</v>
      </c>
      <c r="CR98">
        <f t="shared" si="86"/>
        <v>0</v>
      </c>
      <c r="CS98">
        <f t="shared" si="87"/>
        <v>0</v>
      </c>
      <c r="CT98">
        <f t="shared" si="88"/>
        <v>0</v>
      </c>
      <c r="CU98">
        <f t="shared" si="89"/>
        <v>0</v>
      </c>
      <c r="CV98">
        <f t="shared" si="90"/>
        <v>0</v>
      </c>
      <c r="CW98">
        <f t="shared" si="91"/>
        <v>0</v>
      </c>
      <c r="CX98">
        <f t="shared" si="92"/>
        <v>0</v>
      </c>
      <c r="CY98">
        <f t="shared" si="93"/>
        <v>0</v>
      </c>
      <c r="CZ98">
        <f t="shared" si="94"/>
        <v>0</v>
      </c>
      <c r="DC98" t="s">
        <v>3</v>
      </c>
      <c r="DD98" t="s">
        <v>3</v>
      </c>
      <c r="DE98" t="s">
        <v>3</v>
      </c>
      <c r="DF98" t="s">
        <v>3</v>
      </c>
      <c r="DG98" t="s">
        <v>3</v>
      </c>
      <c r="DH98" t="s">
        <v>3</v>
      </c>
      <c r="DI98" t="s">
        <v>3</v>
      </c>
      <c r="DJ98" t="s">
        <v>3</v>
      </c>
      <c r="DK98" t="s">
        <v>3</v>
      </c>
      <c r="DL98" t="s">
        <v>3</v>
      </c>
      <c r="DM98" t="s">
        <v>3</v>
      </c>
      <c r="DN98">
        <v>0</v>
      </c>
      <c r="DO98">
        <v>0</v>
      </c>
      <c r="DP98">
        <v>1</v>
      </c>
      <c r="DQ98">
        <v>1</v>
      </c>
      <c r="DU98">
        <v>1010</v>
      </c>
      <c r="DV98" t="s">
        <v>220</v>
      </c>
      <c r="DW98" t="s">
        <v>220</v>
      </c>
      <c r="DX98">
        <v>1</v>
      </c>
      <c r="EE98">
        <v>45269109</v>
      </c>
      <c r="EF98">
        <v>8</v>
      </c>
      <c r="EG98" t="s">
        <v>174</v>
      </c>
      <c r="EH98">
        <v>0</v>
      </c>
      <c r="EI98" t="s">
        <v>3</v>
      </c>
      <c r="EJ98">
        <v>1</v>
      </c>
      <c r="EK98">
        <v>500001</v>
      </c>
      <c r="EL98" t="s">
        <v>175</v>
      </c>
      <c r="EM98" t="s">
        <v>176</v>
      </c>
      <c r="EO98" t="s">
        <v>3</v>
      </c>
      <c r="EQ98">
        <v>0</v>
      </c>
      <c r="ER98">
        <v>1066.9000000000001</v>
      </c>
      <c r="ES98">
        <v>1066.9000000000001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FQ98">
        <v>0</v>
      </c>
      <c r="FR98">
        <f t="shared" si="95"/>
        <v>0</v>
      </c>
      <c r="FS98">
        <v>0</v>
      </c>
      <c r="FX98">
        <v>0</v>
      </c>
      <c r="FY98">
        <v>0</v>
      </c>
      <c r="GA98" t="s">
        <v>274</v>
      </c>
      <c r="GD98">
        <v>0</v>
      </c>
      <c r="GF98">
        <v>-2073452248</v>
      </c>
      <c r="GG98">
        <v>2</v>
      </c>
      <c r="GH98">
        <v>0</v>
      </c>
      <c r="GI98">
        <v>2</v>
      </c>
      <c r="GJ98">
        <v>0</v>
      </c>
      <c r="GK98">
        <f>ROUND(R98*(R12)/100,0)</f>
        <v>0</v>
      </c>
      <c r="GL98">
        <f t="shared" si="96"/>
        <v>0</v>
      </c>
      <c r="GM98">
        <f t="shared" si="97"/>
        <v>3894</v>
      </c>
      <c r="GN98">
        <f t="shared" si="98"/>
        <v>3894</v>
      </c>
      <c r="GO98">
        <f t="shared" si="99"/>
        <v>0</v>
      </c>
      <c r="GP98">
        <f t="shared" si="100"/>
        <v>0</v>
      </c>
      <c r="GR98">
        <v>0</v>
      </c>
      <c r="GS98">
        <v>4</v>
      </c>
      <c r="GT98">
        <v>0</v>
      </c>
      <c r="GU98" t="s">
        <v>3</v>
      </c>
      <c r="GV98">
        <f t="shared" si="101"/>
        <v>0</v>
      </c>
      <c r="GW98">
        <v>1</v>
      </c>
      <c r="GX98">
        <f t="shared" si="102"/>
        <v>0</v>
      </c>
      <c r="HA98">
        <v>0</v>
      </c>
      <c r="HB98">
        <v>0</v>
      </c>
      <c r="IK98">
        <v>0</v>
      </c>
    </row>
    <row r="99" spans="1:245">
      <c r="A99">
        <v>17</v>
      </c>
      <c r="B99">
        <v>1</v>
      </c>
      <c r="C99">
        <f>ROW(SmtRes!A219)</f>
        <v>219</v>
      </c>
      <c r="D99">
        <f>ROW(EtalonRes!A220)</f>
        <v>220</v>
      </c>
      <c r="E99" t="s">
        <v>275</v>
      </c>
      <c r="F99" t="s">
        <v>276</v>
      </c>
      <c r="G99" t="s">
        <v>277</v>
      </c>
      <c r="H99" t="s">
        <v>278</v>
      </c>
      <c r="I99">
        <f>ROUND(4/10,9)</f>
        <v>0.4</v>
      </c>
      <c r="J99">
        <v>0</v>
      </c>
      <c r="O99">
        <f t="shared" si="69"/>
        <v>4401</v>
      </c>
      <c r="P99">
        <f t="shared" si="70"/>
        <v>4159</v>
      </c>
      <c r="Q99">
        <f t="shared" si="71"/>
        <v>0</v>
      </c>
      <c r="R99">
        <f t="shared" si="72"/>
        <v>0</v>
      </c>
      <c r="S99">
        <f t="shared" si="73"/>
        <v>242</v>
      </c>
      <c r="T99">
        <f t="shared" si="74"/>
        <v>0</v>
      </c>
      <c r="U99">
        <f t="shared" si="75"/>
        <v>1.288</v>
      </c>
      <c r="V99">
        <f t="shared" si="76"/>
        <v>0</v>
      </c>
      <c r="W99">
        <f t="shared" si="77"/>
        <v>0</v>
      </c>
      <c r="X99">
        <f t="shared" si="78"/>
        <v>196</v>
      </c>
      <c r="Y99">
        <f t="shared" si="79"/>
        <v>152</v>
      </c>
      <c r="AA99">
        <v>48370320</v>
      </c>
      <c r="AB99">
        <f t="shared" si="80"/>
        <v>1581.17</v>
      </c>
      <c r="AC99">
        <f t="shared" si="105"/>
        <v>1551.94</v>
      </c>
      <c r="AD99">
        <f>ROUND(((((ET99*1.25))-((EU99*1.25)))+AE99),2)</f>
        <v>0.28000000000000003</v>
      </c>
      <c r="AE99">
        <f>ROUND(((EU99*1.25)),2)</f>
        <v>0</v>
      </c>
      <c r="AF99">
        <f>ROUND(((EV99*1.15)),2)</f>
        <v>28.95</v>
      </c>
      <c r="AG99">
        <f t="shared" si="82"/>
        <v>0</v>
      </c>
      <c r="AH99">
        <f>((EW99*1.15))</f>
        <v>3.2199999999999998</v>
      </c>
      <c r="AI99">
        <f>((EX99*1.25))</f>
        <v>0</v>
      </c>
      <c r="AJ99">
        <f t="shared" si="83"/>
        <v>0</v>
      </c>
      <c r="AK99">
        <v>1577.33</v>
      </c>
      <c r="AL99">
        <v>1551.94</v>
      </c>
      <c r="AM99">
        <v>0.22</v>
      </c>
      <c r="AN99">
        <v>0</v>
      </c>
      <c r="AO99">
        <v>25.17</v>
      </c>
      <c r="AP99">
        <v>0</v>
      </c>
      <c r="AQ99">
        <v>2.8</v>
      </c>
      <c r="AR99">
        <v>0</v>
      </c>
      <c r="AS99">
        <v>0</v>
      </c>
      <c r="AT99">
        <v>81</v>
      </c>
      <c r="AU99">
        <v>63</v>
      </c>
      <c r="AV99">
        <v>1</v>
      </c>
      <c r="AW99">
        <v>1</v>
      </c>
      <c r="AZ99">
        <v>1</v>
      </c>
      <c r="BA99">
        <v>20.88</v>
      </c>
      <c r="BB99">
        <v>4.45</v>
      </c>
      <c r="BC99">
        <v>6.7</v>
      </c>
      <c r="BD99" t="s">
        <v>3</v>
      </c>
      <c r="BE99" t="s">
        <v>3</v>
      </c>
      <c r="BF99" t="s">
        <v>3</v>
      </c>
      <c r="BG99" t="s">
        <v>3</v>
      </c>
      <c r="BH99">
        <v>0</v>
      </c>
      <c r="BI99">
        <v>1</v>
      </c>
      <c r="BJ99" t="s">
        <v>279</v>
      </c>
      <c r="BM99">
        <v>17001</v>
      </c>
      <c r="BN99">
        <v>0</v>
      </c>
      <c r="BO99" t="s">
        <v>276</v>
      </c>
      <c r="BP99">
        <v>1</v>
      </c>
      <c r="BQ99">
        <v>2</v>
      </c>
      <c r="BR99">
        <v>0</v>
      </c>
      <c r="BS99">
        <v>20.88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3</v>
      </c>
      <c r="BZ99">
        <v>128</v>
      </c>
      <c r="CA99">
        <v>83</v>
      </c>
      <c r="CF99">
        <v>0</v>
      </c>
      <c r="CG99">
        <v>0</v>
      </c>
      <c r="CM99">
        <v>0</v>
      </c>
      <c r="CN99" t="s">
        <v>937</v>
      </c>
      <c r="CO99">
        <v>0</v>
      </c>
      <c r="CP99">
        <f t="shared" si="84"/>
        <v>4401</v>
      </c>
      <c r="CQ99">
        <f t="shared" si="85"/>
        <v>10397.998000000001</v>
      </c>
      <c r="CR99">
        <f t="shared" si="86"/>
        <v>1.2460000000000002</v>
      </c>
      <c r="CS99">
        <f t="shared" si="87"/>
        <v>0</v>
      </c>
      <c r="CT99">
        <f t="shared" si="88"/>
        <v>604.476</v>
      </c>
      <c r="CU99">
        <f t="shared" si="89"/>
        <v>0</v>
      </c>
      <c r="CV99">
        <f t="shared" si="90"/>
        <v>3.2199999999999998</v>
      </c>
      <c r="CW99">
        <f t="shared" si="91"/>
        <v>0</v>
      </c>
      <c r="CX99">
        <f t="shared" si="92"/>
        <v>0</v>
      </c>
      <c r="CY99">
        <f t="shared" si="93"/>
        <v>196.02</v>
      </c>
      <c r="CZ99">
        <f t="shared" si="94"/>
        <v>152.46</v>
      </c>
      <c r="DC99" t="s">
        <v>3</v>
      </c>
      <c r="DD99" t="s">
        <v>3</v>
      </c>
      <c r="DE99" t="s">
        <v>160</v>
      </c>
      <c r="DF99" t="s">
        <v>160</v>
      </c>
      <c r="DG99" t="s">
        <v>161</v>
      </c>
      <c r="DH99" t="s">
        <v>3</v>
      </c>
      <c r="DI99" t="s">
        <v>161</v>
      </c>
      <c r="DJ99" t="s">
        <v>160</v>
      </c>
      <c r="DK99" t="s">
        <v>3</v>
      </c>
      <c r="DL99" t="s">
        <v>3</v>
      </c>
      <c r="DM99" t="s">
        <v>3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278</v>
      </c>
      <c r="DW99" t="s">
        <v>278</v>
      </c>
      <c r="DX99">
        <v>10</v>
      </c>
      <c r="EE99">
        <v>45269204</v>
      </c>
      <c r="EF99">
        <v>2</v>
      </c>
      <c r="EG99" t="s">
        <v>19</v>
      </c>
      <c r="EH99">
        <v>0</v>
      </c>
      <c r="EI99" t="s">
        <v>3</v>
      </c>
      <c r="EJ99">
        <v>1</v>
      </c>
      <c r="EK99">
        <v>17001</v>
      </c>
      <c r="EL99" t="s">
        <v>231</v>
      </c>
      <c r="EM99" t="s">
        <v>232</v>
      </c>
      <c r="EO99" t="s">
        <v>162</v>
      </c>
      <c r="EQ99">
        <v>0</v>
      </c>
      <c r="ER99">
        <v>1577.33</v>
      </c>
      <c r="ES99">
        <v>1551.94</v>
      </c>
      <c r="ET99">
        <v>0.22</v>
      </c>
      <c r="EU99">
        <v>0</v>
      </c>
      <c r="EV99">
        <v>25.17</v>
      </c>
      <c r="EW99">
        <v>2.8</v>
      </c>
      <c r="EX99">
        <v>0</v>
      </c>
      <c r="EY99">
        <v>0</v>
      </c>
      <c r="FQ99">
        <v>0</v>
      </c>
      <c r="FR99">
        <f t="shared" si="95"/>
        <v>0</v>
      </c>
      <c r="FS99">
        <v>0</v>
      </c>
      <c r="FT99" t="s">
        <v>22</v>
      </c>
      <c r="FU99" t="s">
        <v>23</v>
      </c>
      <c r="FX99">
        <v>80.64</v>
      </c>
      <c r="FY99">
        <v>63.494999999999997</v>
      </c>
      <c r="GA99" t="s">
        <v>3</v>
      </c>
      <c r="GD99">
        <v>0</v>
      </c>
      <c r="GF99">
        <v>-1422946448</v>
      </c>
      <c r="GG99">
        <v>2</v>
      </c>
      <c r="GH99">
        <v>1</v>
      </c>
      <c r="GI99">
        <v>2</v>
      </c>
      <c r="GJ99">
        <v>0</v>
      </c>
      <c r="GK99">
        <f>ROUND(R99*(R12)/100,0)</f>
        <v>0</v>
      </c>
      <c r="GL99">
        <f t="shared" si="96"/>
        <v>0</v>
      </c>
      <c r="GM99">
        <f t="shared" si="97"/>
        <v>4749</v>
      </c>
      <c r="GN99">
        <f t="shared" si="98"/>
        <v>4749</v>
      </c>
      <c r="GO99">
        <f t="shared" si="99"/>
        <v>0</v>
      </c>
      <c r="GP99">
        <f t="shared" si="100"/>
        <v>0</v>
      </c>
      <c r="GR99">
        <v>0</v>
      </c>
      <c r="GS99">
        <v>3</v>
      </c>
      <c r="GT99">
        <v>0</v>
      </c>
      <c r="GU99" t="s">
        <v>3</v>
      </c>
      <c r="GV99">
        <f t="shared" si="101"/>
        <v>0</v>
      </c>
      <c r="GW99">
        <v>1</v>
      </c>
      <c r="GX99">
        <f t="shared" si="102"/>
        <v>0</v>
      </c>
      <c r="HA99">
        <v>0</v>
      </c>
      <c r="HB99">
        <v>0</v>
      </c>
      <c r="IK99">
        <v>0</v>
      </c>
    </row>
    <row r="100" spans="1:245">
      <c r="A100">
        <v>17</v>
      </c>
      <c r="B100">
        <v>1</v>
      </c>
      <c r="E100" t="s">
        <v>280</v>
      </c>
      <c r="F100" t="s">
        <v>270</v>
      </c>
      <c r="G100" t="s">
        <v>281</v>
      </c>
      <c r="H100" t="s">
        <v>220</v>
      </c>
      <c r="I100">
        <v>1</v>
      </c>
      <c r="J100">
        <v>0</v>
      </c>
      <c r="O100">
        <f t="shared" si="69"/>
        <v>4211</v>
      </c>
      <c r="P100">
        <f t="shared" si="70"/>
        <v>4211</v>
      </c>
      <c r="Q100">
        <f t="shared" si="71"/>
        <v>0</v>
      </c>
      <c r="R100">
        <f t="shared" si="72"/>
        <v>0</v>
      </c>
      <c r="S100">
        <f t="shared" si="73"/>
        <v>0</v>
      </c>
      <c r="T100">
        <f t="shared" si="74"/>
        <v>0</v>
      </c>
      <c r="U100">
        <f t="shared" si="75"/>
        <v>0</v>
      </c>
      <c r="V100">
        <f t="shared" si="76"/>
        <v>0</v>
      </c>
      <c r="W100">
        <f t="shared" si="77"/>
        <v>0</v>
      </c>
      <c r="X100">
        <f t="shared" si="78"/>
        <v>0</v>
      </c>
      <c r="Y100">
        <f t="shared" si="79"/>
        <v>0</v>
      </c>
      <c r="AA100">
        <v>48370320</v>
      </c>
      <c r="AB100">
        <f t="shared" si="80"/>
        <v>4211</v>
      </c>
      <c r="AC100">
        <f t="shared" si="105"/>
        <v>4211</v>
      </c>
      <c r="AD100">
        <f>ROUND((((ET100)-(EU100))+AE100),2)</f>
        <v>0</v>
      </c>
      <c r="AE100">
        <f t="shared" ref="AE100:AF103" si="108">ROUND((EU100),2)</f>
        <v>0</v>
      </c>
      <c r="AF100">
        <f t="shared" si="108"/>
        <v>0</v>
      </c>
      <c r="AG100">
        <f t="shared" si="82"/>
        <v>0</v>
      </c>
      <c r="AH100">
        <f t="shared" ref="AH100:AI103" si="109">(EW100)</f>
        <v>0</v>
      </c>
      <c r="AI100">
        <f t="shared" si="109"/>
        <v>0</v>
      </c>
      <c r="AJ100">
        <f t="shared" si="83"/>
        <v>0</v>
      </c>
      <c r="AK100">
        <v>4211</v>
      </c>
      <c r="AL100">
        <v>4211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1</v>
      </c>
      <c r="AW100">
        <v>1</v>
      </c>
      <c r="AZ100">
        <v>1</v>
      </c>
      <c r="BA100">
        <v>1</v>
      </c>
      <c r="BB100">
        <v>1</v>
      </c>
      <c r="BC100">
        <v>1</v>
      </c>
      <c r="BD100" t="s">
        <v>3</v>
      </c>
      <c r="BE100" t="s">
        <v>3</v>
      </c>
      <c r="BF100" t="s">
        <v>3</v>
      </c>
      <c r="BG100" t="s">
        <v>3</v>
      </c>
      <c r="BH100">
        <v>3</v>
      </c>
      <c r="BI100">
        <v>1</v>
      </c>
      <c r="BJ100" t="s">
        <v>3</v>
      </c>
      <c r="BM100">
        <v>1100</v>
      </c>
      <c r="BN100">
        <v>0</v>
      </c>
      <c r="BO100" t="s">
        <v>3</v>
      </c>
      <c r="BP100">
        <v>0</v>
      </c>
      <c r="BQ100">
        <v>8</v>
      </c>
      <c r="BR100">
        <v>0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Y100" t="s">
        <v>3</v>
      </c>
      <c r="BZ100">
        <v>0</v>
      </c>
      <c r="CA100">
        <v>0</v>
      </c>
      <c r="CF100">
        <v>0</v>
      </c>
      <c r="CG100">
        <v>0</v>
      </c>
      <c r="CM100">
        <v>0</v>
      </c>
      <c r="CN100" t="s">
        <v>3</v>
      </c>
      <c r="CO100">
        <v>0</v>
      </c>
      <c r="CP100">
        <f t="shared" si="84"/>
        <v>4211</v>
      </c>
      <c r="CQ100">
        <f t="shared" si="85"/>
        <v>4211</v>
      </c>
      <c r="CR100">
        <f t="shared" si="86"/>
        <v>0</v>
      </c>
      <c r="CS100">
        <f t="shared" si="87"/>
        <v>0</v>
      </c>
      <c r="CT100">
        <f t="shared" si="88"/>
        <v>0</v>
      </c>
      <c r="CU100">
        <f t="shared" si="89"/>
        <v>0</v>
      </c>
      <c r="CV100">
        <f t="shared" si="90"/>
        <v>0</v>
      </c>
      <c r="CW100">
        <f t="shared" si="91"/>
        <v>0</v>
      </c>
      <c r="CX100">
        <f t="shared" si="92"/>
        <v>0</v>
      </c>
      <c r="CY100">
        <f t="shared" si="93"/>
        <v>0</v>
      </c>
      <c r="CZ100">
        <f t="shared" si="94"/>
        <v>0</v>
      </c>
      <c r="DC100" t="s">
        <v>3</v>
      </c>
      <c r="DD100" t="s">
        <v>3</v>
      </c>
      <c r="DE100" t="s">
        <v>3</v>
      </c>
      <c r="DF100" t="s">
        <v>3</v>
      </c>
      <c r="DG100" t="s">
        <v>3</v>
      </c>
      <c r="DH100" t="s">
        <v>3</v>
      </c>
      <c r="DI100" t="s">
        <v>3</v>
      </c>
      <c r="DJ100" t="s">
        <v>3</v>
      </c>
      <c r="DK100" t="s">
        <v>3</v>
      </c>
      <c r="DL100" t="s">
        <v>3</v>
      </c>
      <c r="DM100" t="s">
        <v>3</v>
      </c>
      <c r="DN100">
        <v>0</v>
      </c>
      <c r="DO100">
        <v>0</v>
      </c>
      <c r="DP100">
        <v>1</v>
      </c>
      <c r="DQ100">
        <v>1</v>
      </c>
      <c r="DU100">
        <v>1010</v>
      </c>
      <c r="DV100" t="s">
        <v>220</v>
      </c>
      <c r="DW100" t="s">
        <v>220</v>
      </c>
      <c r="DX100">
        <v>1</v>
      </c>
      <c r="EE100">
        <v>45269356</v>
      </c>
      <c r="EF100">
        <v>8</v>
      </c>
      <c r="EG100" t="s">
        <v>174</v>
      </c>
      <c r="EH100">
        <v>0</v>
      </c>
      <c r="EI100" t="s">
        <v>3</v>
      </c>
      <c r="EJ100">
        <v>1</v>
      </c>
      <c r="EK100">
        <v>1100</v>
      </c>
      <c r="EL100" t="s">
        <v>282</v>
      </c>
      <c r="EM100" t="s">
        <v>283</v>
      </c>
      <c r="EO100" t="s">
        <v>3</v>
      </c>
      <c r="EQ100">
        <v>0</v>
      </c>
      <c r="ER100">
        <v>4211</v>
      </c>
      <c r="ES100">
        <v>4211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FQ100">
        <v>0</v>
      </c>
      <c r="FR100">
        <f t="shared" si="95"/>
        <v>0</v>
      </c>
      <c r="FS100">
        <v>0</v>
      </c>
      <c r="FX100">
        <v>0</v>
      </c>
      <c r="FY100">
        <v>0</v>
      </c>
      <c r="GA100" t="s">
        <v>274</v>
      </c>
      <c r="GD100">
        <v>0</v>
      </c>
      <c r="GF100">
        <v>-348628299</v>
      </c>
      <c r="GG100">
        <v>2</v>
      </c>
      <c r="GH100">
        <v>0</v>
      </c>
      <c r="GI100">
        <v>-2</v>
      </c>
      <c r="GJ100">
        <v>0</v>
      </c>
      <c r="GK100">
        <f>ROUND(R100*(R12)/100,0)</f>
        <v>0</v>
      </c>
      <c r="GL100">
        <f t="shared" si="96"/>
        <v>0</v>
      </c>
      <c r="GM100">
        <f t="shared" si="97"/>
        <v>4211</v>
      </c>
      <c r="GN100">
        <f t="shared" si="98"/>
        <v>4211</v>
      </c>
      <c r="GO100">
        <f t="shared" si="99"/>
        <v>0</v>
      </c>
      <c r="GP100">
        <f t="shared" si="100"/>
        <v>0</v>
      </c>
      <c r="GR100">
        <v>0</v>
      </c>
      <c r="GS100">
        <v>4</v>
      </c>
      <c r="GT100">
        <v>0</v>
      </c>
      <c r="GU100" t="s">
        <v>3</v>
      </c>
      <c r="GV100">
        <f t="shared" si="101"/>
        <v>0</v>
      </c>
      <c r="GW100">
        <v>1</v>
      </c>
      <c r="GX100">
        <f t="shared" si="102"/>
        <v>0</v>
      </c>
      <c r="HA100">
        <v>0</v>
      </c>
      <c r="HB100">
        <v>0</v>
      </c>
      <c r="IK100">
        <v>0</v>
      </c>
    </row>
    <row r="101" spans="1:245">
      <c r="A101">
        <v>17</v>
      </c>
      <c r="B101">
        <v>1</v>
      </c>
      <c r="E101" t="s">
        <v>284</v>
      </c>
      <c r="F101" t="s">
        <v>270</v>
      </c>
      <c r="G101" t="s">
        <v>285</v>
      </c>
      <c r="H101" t="s">
        <v>220</v>
      </c>
      <c r="I101">
        <v>1</v>
      </c>
      <c r="J101">
        <v>0</v>
      </c>
      <c r="O101">
        <f t="shared" si="69"/>
        <v>3063</v>
      </c>
      <c r="P101">
        <f t="shared" si="70"/>
        <v>3063</v>
      </c>
      <c r="Q101">
        <f t="shared" si="71"/>
        <v>0</v>
      </c>
      <c r="R101">
        <f t="shared" si="72"/>
        <v>0</v>
      </c>
      <c r="S101">
        <f t="shared" si="73"/>
        <v>0</v>
      </c>
      <c r="T101">
        <f t="shared" si="74"/>
        <v>0</v>
      </c>
      <c r="U101">
        <f t="shared" si="75"/>
        <v>0</v>
      </c>
      <c r="V101">
        <f t="shared" si="76"/>
        <v>0</v>
      </c>
      <c r="W101">
        <f t="shared" si="77"/>
        <v>0</v>
      </c>
      <c r="X101">
        <f t="shared" si="78"/>
        <v>0</v>
      </c>
      <c r="Y101">
        <f t="shared" si="79"/>
        <v>0</v>
      </c>
      <c r="AA101">
        <v>48370320</v>
      </c>
      <c r="AB101">
        <f t="shared" si="80"/>
        <v>3062.52</v>
      </c>
      <c r="AC101">
        <f t="shared" si="105"/>
        <v>3062.52</v>
      </c>
      <c r="AD101">
        <f>ROUND((((ET101)-(EU101))+AE101),2)</f>
        <v>0</v>
      </c>
      <c r="AE101">
        <f t="shared" si="108"/>
        <v>0</v>
      </c>
      <c r="AF101">
        <f t="shared" si="108"/>
        <v>0</v>
      </c>
      <c r="AG101">
        <f t="shared" si="82"/>
        <v>0</v>
      </c>
      <c r="AH101">
        <f t="shared" si="109"/>
        <v>0</v>
      </c>
      <c r="AI101">
        <f t="shared" si="109"/>
        <v>0</v>
      </c>
      <c r="AJ101">
        <f t="shared" si="83"/>
        <v>0</v>
      </c>
      <c r="AK101">
        <v>3062.52</v>
      </c>
      <c r="AL101">
        <v>3062.52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v>1</v>
      </c>
      <c r="BD101" t="s">
        <v>3</v>
      </c>
      <c r="BE101" t="s">
        <v>3</v>
      </c>
      <c r="BF101" t="s">
        <v>3</v>
      </c>
      <c r="BG101" t="s">
        <v>3</v>
      </c>
      <c r="BH101">
        <v>3</v>
      </c>
      <c r="BI101">
        <v>1</v>
      </c>
      <c r="BJ101" t="s">
        <v>3</v>
      </c>
      <c r="BM101">
        <v>1100</v>
      </c>
      <c r="BN101">
        <v>0</v>
      </c>
      <c r="BO101" t="s">
        <v>3</v>
      </c>
      <c r="BP101">
        <v>0</v>
      </c>
      <c r="BQ101">
        <v>8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3</v>
      </c>
      <c r="BZ101">
        <v>0</v>
      </c>
      <c r="CA101">
        <v>0</v>
      </c>
      <c r="CF101">
        <v>0</v>
      </c>
      <c r="CG101">
        <v>0</v>
      </c>
      <c r="CM101">
        <v>0</v>
      </c>
      <c r="CN101" t="s">
        <v>3</v>
      </c>
      <c r="CO101">
        <v>0</v>
      </c>
      <c r="CP101">
        <f t="shared" si="84"/>
        <v>3063</v>
      </c>
      <c r="CQ101">
        <f t="shared" si="85"/>
        <v>3062.52</v>
      </c>
      <c r="CR101">
        <f t="shared" si="86"/>
        <v>0</v>
      </c>
      <c r="CS101">
        <f t="shared" si="87"/>
        <v>0</v>
      </c>
      <c r="CT101">
        <f t="shared" si="88"/>
        <v>0</v>
      </c>
      <c r="CU101">
        <f t="shared" si="89"/>
        <v>0</v>
      </c>
      <c r="CV101">
        <f t="shared" si="90"/>
        <v>0</v>
      </c>
      <c r="CW101">
        <f t="shared" si="91"/>
        <v>0</v>
      </c>
      <c r="CX101">
        <f t="shared" si="92"/>
        <v>0</v>
      </c>
      <c r="CY101">
        <f t="shared" si="93"/>
        <v>0</v>
      </c>
      <c r="CZ101">
        <f t="shared" si="94"/>
        <v>0</v>
      </c>
      <c r="DC101" t="s">
        <v>3</v>
      </c>
      <c r="DD101" t="s">
        <v>3</v>
      </c>
      <c r="DE101" t="s">
        <v>3</v>
      </c>
      <c r="DF101" t="s">
        <v>3</v>
      </c>
      <c r="DG101" t="s">
        <v>3</v>
      </c>
      <c r="DH101" t="s">
        <v>3</v>
      </c>
      <c r="DI101" t="s">
        <v>3</v>
      </c>
      <c r="DJ101" t="s">
        <v>3</v>
      </c>
      <c r="DK101" t="s">
        <v>3</v>
      </c>
      <c r="DL101" t="s">
        <v>3</v>
      </c>
      <c r="DM101" t="s">
        <v>3</v>
      </c>
      <c r="DN101">
        <v>0</v>
      </c>
      <c r="DO101">
        <v>0</v>
      </c>
      <c r="DP101">
        <v>1</v>
      </c>
      <c r="DQ101">
        <v>1</v>
      </c>
      <c r="DU101">
        <v>1010</v>
      </c>
      <c r="DV101" t="s">
        <v>220</v>
      </c>
      <c r="DW101" t="s">
        <v>220</v>
      </c>
      <c r="DX101">
        <v>1</v>
      </c>
      <c r="EE101">
        <v>45269356</v>
      </c>
      <c r="EF101">
        <v>8</v>
      </c>
      <c r="EG101" t="s">
        <v>174</v>
      </c>
      <c r="EH101">
        <v>0</v>
      </c>
      <c r="EI101" t="s">
        <v>3</v>
      </c>
      <c r="EJ101">
        <v>1</v>
      </c>
      <c r="EK101">
        <v>1100</v>
      </c>
      <c r="EL101" t="s">
        <v>282</v>
      </c>
      <c r="EM101" t="s">
        <v>283</v>
      </c>
      <c r="EO101" t="s">
        <v>3</v>
      </c>
      <c r="EQ101">
        <v>0</v>
      </c>
      <c r="ER101">
        <v>3062.52</v>
      </c>
      <c r="ES101">
        <v>3062.52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FQ101">
        <v>0</v>
      </c>
      <c r="FR101">
        <f t="shared" si="95"/>
        <v>0</v>
      </c>
      <c r="FS101">
        <v>0</v>
      </c>
      <c r="FX101">
        <v>0</v>
      </c>
      <c r="FY101">
        <v>0</v>
      </c>
      <c r="GA101" t="s">
        <v>274</v>
      </c>
      <c r="GD101">
        <v>0</v>
      </c>
      <c r="GF101">
        <v>101135669</v>
      </c>
      <c r="GG101">
        <v>2</v>
      </c>
      <c r="GH101">
        <v>0</v>
      </c>
      <c r="GI101">
        <v>-2</v>
      </c>
      <c r="GJ101">
        <v>0</v>
      </c>
      <c r="GK101">
        <f>ROUND(R101*(R12)/100,0)</f>
        <v>0</v>
      </c>
      <c r="GL101">
        <f t="shared" si="96"/>
        <v>0</v>
      </c>
      <c r="GM101">
        <f t="shared" si="97"/>
        <v>3063</v>
      </c>
      <c r="GN101">
        <f t="shared" si="98"/>
        <v>3063</v>
      </c>
      <c r="GO101">
        <f t="shared" si="99"/>
        <v>0</v>
      </c>
      <c r="GP101">
        <f t="shared" si="100"/>
        <v>0</v>
      </c>
      <c r="GR101">
        <v>0</v>
      </c>
      <c r="GS101">
        <v>4</v>
      </c>
      <c r="GT101">
        <v>0</v>
      </c>
      <c r="GU101" t="s">
        <v>3</v>
      </c>
      <c r="GV101">
        <f t="shared" si="101"/>
        <v>0</v>
      </c>
      <c r="GW101">
        <v>1</v>
      </c>
      <c r="GX101">
        <f t="shared" si="102"/>
        <v>0</v>
      </c>
      <c r="HA101">
        <v>0</v>
      </c>
      <c r="HB101">
        <v>0</v>
      </c>
      <c r="IK101">
        <v>0</v>
      </c>
    </row>
    <row r="102" spans="1:245">
      <c r="A102">
        <v>17</v>
      </c>
      <c r="B102">
        <v>1</v>
      </c>
      <c r="E102" t="s">
        <v>286</v>
      </c>
      <c r="F102" t="s">
        <v>270</v>
      </c>
      <c r="G102" t="s">
        <v>287</v>
      </c>
      <c r="H102" t="s">
        <v>220</v>
      </c>
      <c r="I102">
        <v>1</v>
      </c>
      <c r="J102">
        <v>0</v>
      </c>
      <c r="O102">
        <f t="shared" si="69"/>
        <v>6188</v>
      </c>
      <c r="P102">
        <f t="shared" si="70"/>
        <v>6188</v>
      </c>
      <c r="Q102">
        <f t="shared" si="71"/>
        <v>0</v>
      </c>
      <c r="R102">
        <f t="shared" si="72"/>
        <v>0</v>
      </c>
      <c r="S102">
        <f t="shared" si="73"/>
        <v>0</v>
      </c>
      <c r="T102">
        <f t="shared" si="74"/>
        <v>0</v>
      </c>
      <c r="U102">
        <f t="shared" si="75"/>
        <v>0</v>
      </c>
      <c r="V102">
        <f t="shared" si="76"/>
        <v>0</v>
      </c>
      <c r="W102">
        <f t="shared" si="77"/>
        <v>0</v>
      </c>
      <c r="X102">
        <f t="shared" si="78"/>
        <v>0</v>
      </c>
      <c r="Y102">
        <f t="shared" si="79"/>
        <v>0</v>
      </c>
      <c r="AA102">
        <v>48370320</v>
      </c>
      <c r="AB102">
        <f t="shared" si="80"/>
        <v>6187.5</v>
      </c>
      <c r="AC102">
        <f t="shared" si="105"/>
        <v>6187.5</v>
      </c>
      <c r="AD102">
        <f>ROUND((((ET102)-(EU102))+AE102),2)</f>
        <v>0</v>
      </c>
      <c r="AE102">
        <f t="shared" si="108"/>
        <v>0</v>
      </c>
      <c r="AF102">
        <f t="shared" si="108"/>
        <v>0</v>
      </c>
      <c r="AG102">
        <f t="shared" si="82"/>
        <v>0</v>
      </c>
      <c r="AH102">
        <f t="shared" si="109"/>
        <v>0</v>
      </c>
      <c r="AI102">
        <f t="shared" si="109"/>
        <v>0</v>
      </c>
      <c r="AJ102">
        <f t="shared" si="83"/>
        <v>0</v>
      </c>
      <c r="AK102">
        <v>6187.5</v>
      </c>
      <c r="AL102">
        <v>6187.5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1</v>
      </c>
      <c r="AW102">
        <v>1</v>
      </c>
      <c r="AZ102">
        <v>1</v>
      </c>
      <c r="BA102">
        <v>1</v>
      </c>
      <c r="BB102">
        <v>1</v>
      </c>
      <c r="BC102">
        <v>1</v>
      </c>
      <c r="BD102" t="s">
        <v>3</v>
      </c>
      <c r="BE102" t="s">
        <v>3</v>
      </c>
      <c r="BF102" t="s">
        <v>3</v>
      </c>
      <c r="BG102" t="s">
        <v>3</v>
      </c>
      <c r="BH102">
        <v>3</v>
      </c>
      <c r="BI102">
        <v>1</v>
      </c>
      <c r="BJ102" t="s">
        <v>3</v>
      </c>
      <c r="BM102">
        <v>1100</v>
      </c>
      <c r="BN102">
        <v>0</v>
      </c>
      <c r="BO102" t="s">
        <v>3</v>
      </c>
      <c r="BP102">
        <v>0</v>
      </c>
      <c r="BQ102">
        <v>8</v>
      </c>
      <c r="BR102">
        <v>0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Y102" t="s">
        <v>3</v>
      </c>
      <c r="BZ102">
        <v>0</v>
      </c>
      <c r="CA102">
        <v>0</v>
      </c>
      <c r="CF102">
        <v>0</v>
      </c>
      <c r="CG102">
        <v>0</v>
      </c>
      <c r="CM102">
        <v>0</v>
      </c>
      <c r="CN102" t="s">
        <v>3</v>
      </c>
      <c r="CO102">
        <v>0</v>
      </c>
      <c r="CP102">
        <f t="shared" si="84"/>
        <v>6188</v>
      </c>
      <c r="CQ102">
        <f t="shared" si="85"/>
        <v>6187.5</v>
      </c>
      <c r="CR102">
        <f t="shared" si="86"/>
        <v>0</v>
      </c>
      <c r="CS102">
        <f t="shared" si="87"/>
        <v>0</v>
      </c>
      <c r="CT102">
        <f t="shared" si="88"/>
        <v>0</v>
      </c>
      <c r="CU102">
        <f t="shared" si="89"/>
        <v>0</v>
      </c>
      <c r="CV102">
        <f t="shared" si="90"/>
        <v>0</v>
      </c>
      <c r="CW102">
        <f t="shared" si="91"/>
        <v>0</v>
      </c>
      <c r="CX102">
        <f t="shared" si="92"/>
        <v>0</v>
      </c>
      <c r="CY102">
        <f t="shared" si="93"/>
        <v>0</v>
      </c>
      <c r="CZ102">
        <f t="shared" si="94"/>
        <v>0</v>
      </c>
      <c r="DC102" t="s">
        <v>3</v>
      </c>
      <c r="DD102" t="s">
        <v>3</v>
      </c>
      <c r="DE102" t="s">
        <v>3</v>
      </c>
      <c r="DF102" t="s">
        <v>3</v>
      </c>
      <c r="DG102" t="s">
        <v>3</v>
      </c>
      <c r="DH102" t="s">
        <v>3</v>
      </c>
      <c r="DI102" t="s">
        <v>3</v>
      </c>
      <c r="DJ102" t="s">
        <v>3</v>
      </c>
      <c r="DK102" t="s">
        <v>3</v>
      </c>
      <c r="DL102" t="s">
        <v>3</v>
      </c>
      <c r="DM102" t="s">
        <v>3</v>
      </c>
      <c r="DN102">
        <v>0</v>
      </c>
      <c r="DO102">
        <v>0</v>
      </c>
      <c r="DP102">
        <v>1</v>
      </c>
      <c r="DQ102">
        <v>1</v>
      </c>
      <c r="DU102">
        <v>1010</v>
      </c>
      <c r="DV102" t="s">
        <v>220</v>
      </c>
      <c r="DW102" t="s">
        <v>220</v>
      </c>
      <c r="DX102">
        <v>1</v>
      </c>
      <c r="EE102">
        <v>45269356</v>
      </c>
      <c r="EF102">
        <v>8</v>
      </c>
      <c r="EG102" t="s">
        <v>174</v>
      </c>
      <c r="EH102">
        <v>0</v>
      </c>
      <c r="EI102" t="s">
        <v>3</v>
      </c>
      <c r="EJ102">
        <v>1</v>
      </c>
      <c r="EK102">
        <v>1100</v>
      </c>
      <c r="EL102" t="s">
        <v>282</v>
      </c>
      <c r="EM102" t="s">
        <v>283</v>
      </c>
      <c r="EO102" t="s">
        <v>3</v>
      </c>
      <c r="EQ102">
        <v>0</v>
      </c>
      <c r="ER102">
        <v>6187.5</v>
      </c>
      <c r="ES102">
        <v>6187.5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FQ102">
        <v>0</v>
      </c>
      <c r="FR102">
        <f t="shared" si="95"/>
        <v>0</v>
      </c>
      <c r="FS102">
        <v>0</v>
      </c>
      <c r="FX102">
        <v>0</v>
      </c>
      <c r="FY102">
        <v>0</v>
      </c>
      <c r="GA102" t="s">
        <v>274</v>
      </c>
      <c r="GD102">
        <v>0</v>
      </c>
      <c r="GF102">
        <v>-330972753</v>
      </c>
      <c r="GG102">
        <v>2</v>
      </c>
      <c r="GH102">
        <v>0</v>
      </c>
      <c r="GI102">
        <v>-2</v>
      </c>
      <c r="GJ102">
        <v>0</v>
      </c>
      <c r="GK102">
        <f>ROUND(R102*(R12)/100,0)</f>
        <v>0</v>
      </c>
      <c r="GL102">
        <f t="shared" si="96"/>
        <v>0</v>
      </c>
      <c r="GM102">
        <f t="shared" si="97"/>
        <v>6188</v>
      </c>
      <c r="GN102">
        <f t="shared" si="98"/>
        <v>6188</v>
      </c>
      <c r="GO102">
        <f t="shared" si="99"/>
        <v>0</v>
      </c>
      <c r="GP102">
        <f t="shared" si="100"/>
        <v>0</v>
      </c>
      <c r="GR102">
        <v>0</v>
      </c>
      <c r="GS102">
        <v>4</v>
      </c>
      <c r="GT102">
        <v>0</v>
      </c>
      <c r="GU102" t="s">
        <v>3</v>
      </c>
      <c r="GV102">
        <f t="shared" si="101"/>
        <v>0</v>
      </c>
      <c r="GW102">
        <v>1</v>
      </c>
      <c r="GX102">
        <f t="shared" si="102"/>
        <v>0</v>
      </c>
      <c r="HA102">
        <v>0</v>
      </c>
      <c r="HB102">
        <v>0</v>
      </c>
      <c r="IK102">
        <v>0</v>
      </c>
    </row>
    <row r="103" spans="1:245">
      <c r="A103">
        <v>17</v>
      </c>
      <c r="B103">
        <v>1</v>
      </c>
      <c r="E103" t="s">
        <v>288</v>
      </c>
      <c r="F103" t="s">
        <v>270</v>
      </c>
      <c r="G103" t="s">
        <v>289</v>
      </c>
      <c r="H103" t="s">
        <v>220</v>
      </c>
      <c r="I103">
        <v>1</v>
      </c>
      <c r="J103">
        <v>0</v>
      </c>
      <c r="O103">
        <f t="shared" si="69"/>
        <v>1497</v>
      </c>
      <c r="P103">
        <f t="shared" si="70"/>
        <v>1497</v>
      </c>
      <c r="Q103">
        <f t="shared" si="71"/>
        <v>0</v>
      </c>
      <c r="R103">
        <f t="shared" si="72"/>
        <v>0</v>
      </c>
      <c r="S103">
        <f t="shared" si="73"/>
        <v>0</v>
      </c>
      <c r="T103">
        <f t="shared" si="74"/>
        <v>0</v>
      </c>
      <c r="U103">
        <f t="shared" si="75"/>
        <v>0</v>
      </c>
      <c r="V103">
        <f t="shared" si="76"/>
        <v>0</v>
      </c>
      <c r="W103">
        <f t="shared" si="77"/>
        <v>0</v>
      </c>
      <c r="X103">
        <f t="shared" si="78"/>
        <v>0</v>
      </c>
      <c r="Y103">
        <f t="shared" si="79"/>
        <v>0</v>
      </c>
      <c r="AA103">
        <v>48370320</v>
      </c>
      <c r="AB103">
        <f t="shared" si="80"/>
        <v>1496.7</v>
      </c>
      <c r="AC103">
        <f t="shared" si="105"/>
        <v>1496.7</v>
      </c>
      <c r="AD103">
        <f>ROUND((((ET103)-(EU103))+AE103),2)</f>
        <v>0</v>
      </c>
      <c r="AE103">
        <f t="shared" si="108"/>
        <v>0</v>
      </c>
      <c r="AF103">
        <f t="shared" si="108"/>
        <v>0</v>
      </c>
      <c r="AG103">
        <f t="shared" si="82"/>
        <v>0</v>
      </c>
      <c r="AH103">
        <f t="shared" si="109"/>
        <v>0</v>
      </c>
      <c r="AI103">
        <f t="shared" si="109"/>
        <v>0</v>
      </c>
      <c r="AJ103">
        <f t="shared" si="83"/>
        <v>0</v>
      </c>
      <c r="AK103">
        <v>1496.7</v>
      </c>
      <c r="AL103">
        <v>1496.7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v>1</v>
      </c>
      <c r="BD103" t="s">
        <v>3</v>
      </c>
      <c r="BE103" t="s">
        <v>3</v>
      </c>
      <c r="BF103" t="s">
        <v>3</v>
      </c>
      <c r="BG103" t="s">
        <v>3</v>
      </c>
      <c r="BH103">
        <v>3</v>
      </c>
      <c r="BI103">
        <v>1</v>
      </c>
      <c r="BJ103" t="s">
        <v>3</v>
      </c>
      <c r="BM103">
        <v>1100</v>
      </c>
      <c r="BN103">
        <v>0</v>
      </c>
      <c r="BO103" t="s">
        <v>3</v>
      </c>
      <c r="BP103">
        <v>0</v>
      </c>
      <c r="BQ103">
        <v>8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3</v>
      </c>
      <c r="BZ103">
        <v>0</v>
      </c>
      <c r="CA103">
        <v>0</v>
      </c>
      <c r="CF103">
        <v>0</v>
      </c>
      <c r="CG103">
        <v>0</v>
      </c>
      <c r="CM103">
        <v>0</v>
      </c>
      <c r="CN103" t="s">
        <v>3</v>
      </c>
      <c r="CO103">
        <v>0</v>
      </c>
      <c r="CP103">
        <f t="shared" si="84"/>
        <v>1497</v>
      </c>
      <c r="CQ103">
        <f t="shared" si="85"/>
        <v>1496.7</v>
      </c>
      <c r="CR103">
        <f t="shared" si="86"/>
        <v>0</v>
      </c>
      <c r="CS103">
        <f t="shared" si="87"/>
        <v>0</v>
      </c>
      <c r="CT103">
        <f t="shared" si="88"/>
        <v>0</v>
      </c>
      <c r="CU103">
        <f t="shared" si="89"/>
        <v>0</v>
      </c>
      <c r="CV103">
        <f t="shared" si="90"/>
        <v>0</v>
      </c>
      <c r="CW103">
        <f t="shared" si="91"/>
        <v>0</v>
      </c>
      <c r="CX103">
        <f t="shared" si="92"/>
        <v>0</v>
      </c>
      <c r="CY103">
        <f t="shared" si="93"/>
        <v>0</v>
      </c>
      <c r="CZ103">
        <f t="shared" si="94"/>
        <v>0</v>
      </c>
      <c r="DC103" t="s">
        <v>3</v>
      </c>
      <c r="DD103" t="s">
        <v>3</v>
      </c>
      <c r="DE103" t="s">
        <v>3</v>
      </c>
      <c r="DF103" t="s">
        <v>3</v>
      </c>
      <c r="DG103" t="s">
        <v>3</v>
      </c>
      <c r="DH103" t="s">
        <v>3</v>
      </c>
      <c r="DI103" t="s">
        <v>3</v>
      </c>
      <c r="DJ103" t="s">
        <v>3</v>
      </c>
      <c r="DK103" t="s">
        <v>3</v>
      </c>
      <c r="DL103" t="s">
        <v>3</v>
      </c>
      <c r="DM103" t="s">
        <v>3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220</v>
      </c>
      <c r="DW103" t="s">
        <v>220</v>
      </c>
      <c r="DX103">
        <v>1</v>
      </c>
      <c r="EE103">
        <v>45269356</v>
      </c>
      <c r="EF103">
        <v>8</v>
      </c>
      <c r="EG103" t="s">
        <v>174</v>
      </c>
      <c r="EH103">
        <v>0</v>
      </c>
      <c r="EI103" t="s">
        <v>3</v>
      </c>
      <c r="EJ103">
        <v>1</v>
      </c>
      <c r="EK103">
        <v>1100</v>
      </c>
      <c r="EL103" t="s">
        <v>282</v>
      </c>
      <c r="EM103" t="s">
        <v>283</v>
      </c>
      <c r="EO103" t="s">
        <v>3</v>
      </c>
      <c r="EQ103">
        <v>0</v>
      </c>
      <c r="ER103">
        <v>1496.7</v>
      </c>
      <c r="ES103">
        <v>1496.7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FQ103">
        <v>0</v>
      </c>
      <c r="FR103">
        <f t="shared" si="95"/>
        <v>0</v>
      </c>
      <c r="FS103">
        <v>0</v>
      </c>
      <c r="FX103">
        <v>0</v>
      </c>
      <c r="FY103">
        <v>0</v>
      </c>
      <c r="GA103" t="s">
        <v>274</v>
      </c>
      <c r="GD103">
        <v>0</v>
      </c>
      <c r="GF103">
        <v>-963417408</v>
      </c>
      <c r="GG103">
        <v>2</v>
      </c>
      <c r="GH103">
        <v>0</v>
      </c>
      <c r="GI103">
        <v>-2</v>
      </c>
      <c r="GJ103">
        <v>0</v>
      </c>
      <c r="GK103">
        <f>ROUND(R103*(R12)/100,0)</f>
        <v>0</v>
      </c>
      <c r="GL103">
        <f t="shared" si="96"/>
        <v>0</v>
      </c>
      <c r="GM103">
        <f t="shared" si="97"/>
        <v>1497</v>
      </c>
      <c r="GN103">
        <f t="shared" si="98"/>
        <v>1497</v>
      </c>
      <c r="GO103">
        <f t="shared" si="99"/>
        <v>0</v>
      </c>
      <c r="GP103">
        <f t="shared" si="100"/>
        <v>0</v>
      </c>
      <c r="GR103">
        <v>0</v>
      </c>
      <c r="GS103">
        <v>4</v>
      </c>
      <c r="GT103">
        <v>0</v>
      </c>
      <c r="GU103" t="s">
        <v>3</v>
      </c>
      <c r="GV103">
        <f t="shared" si="101"/>
        <v>0</v>
      </c>
      <c r="GW103">
        <v>1</v>
      </c>
      <c r="GX103">
        <f t="shared" si="102"/>
        <v>0</v>
      </c>
      <c r="HA103">
        <v>0</v>
      </c>
      <c r="HB103">
        <v>0</v>
      </c>
      <c r="IK103">
        <v>0</v>
      </c>
    </row>
    <row r="104" spans="1:245">
      <c r="A104">
        <v>17</v>
      </c>
      <c r="B104">
        <v>1</v>
      </c>
      <c r="C104">
        <f>ROW(SmtRes!A237)</f>
        <v>237</v>
      </c>
      <c r="D104">
        <f>ROW(EtalonRes!A238)</f>
        <v>238</v>
      </c>
      <c r="E104" t="s">
        <v>290</v>
      </c>
      <c r="F104" t="s">
        <v>291</v>
      </c>
      <c r="G104" t="s">
        <v>292</v>
      </c>
      <c r="H104" t="s">
        <v>293</v>
      </c>
      <c r="I104">
        <f>ROUND(2.1/100,9)</f>
        <v>2.1000000000000001E-2</v>
      </c>
      <c r="J104">
        <v>0</v>
      </c>
      <c r="O104">
        <f t="shared" si="69"/>
        <v>927</v>
      </c>
      <c r="P104">
        <f t="shared" si="70"/>
        <v>621</v>
      </c>
      <c r="Q104">
        <f t="shared" si="71"/>
        <v>2</v>
      </c>
      <c r="R104">
        <f t="shared" si="72"/>
        <v>0</v>
      </c>
      <c r="S104">
        <f t="shared" si="73"/>
        <v>304</v>
      </c>
      <c r="T104">
        <f t="shared" si="74"/>
        <v>0</v>
      </c>
      <c r="U104">
        <f t="shared" si="75"/>
        <v>1.71465</v>
      </c>
      <c r="V104">
        <f t="shared" si="76"/>
        <v>0</v>
      </c>
      <c r="W104">
        <f t="shared" si="77"/>
        <v>0</v>
      </c>
      <c r="X104">
        <f t="shared" si="78"/>
        <v>225</v>
      </c>
      <c r="Y104">
        <f t="shared" si="79"/>
        <v>146</v>
      </c>
      <c r="AA104">
        <v>48370320</v>
      </c>
      <c r="AB104">
        <f t="shared" si="80"/>
        <v>5947.16</v>
      </c>
      <c r="AC104">
        <f t="shared" si="105"/>
        <v>5231.84</v>
      </c>
      <c r="AD104">
        <f>ROUND(((((ET104*1.25))-((EU104*1.25)))+AE104),2)</f>
        <v>22.93</v>
      </c>
      <c r="AE104">
        <f>ROUND(((EU104*1.25)),2)</f>
        <v>0</v>
      </c>
      <c r="AF104">
        <f>ROUND(((EV104*1.15)),2)</f>
        <v>692.39</v>
      </c>
      <c r="AG104">
        <f t="shared" si="82"/>
        <v>0</v>
      </c>
      <c r="AH104">
        <f>((EW104*1.15))</f>
        <v>81.649999999999991</v>
      </c>
      <c r="AI104">
        <f>((EX104*1.25))</f>
        <v>0</v>
      </c>
      <c r="AJ104">
        <f t="shared" si="83"/>
        <v>0</v>
      </c>
      <c r="AK104">
        <v>5852.26</v>
      </c>
      <c r="AL104">
        <v>5231.84</v>
      </c>
      <c r="AM104">
        <v>18.34</v>
      </c>
      <c r="AN104">
        <v>0</v>
      </c>
      <c r="AO104">
        <v>602.08000000000004</v>
      </c>
      <c r="AP104">
        <v>0</v>
      </c>
      <c r="AQ104">
        <v>71</v>
      </c>
      <c r="AR104">
        <v>0</v>
      </c>
      <c r="AS104">
        <v>0</v>
      </c>
      <c r="AT104">
        <v>74</v>
      </c>
      <c r="AU104">
        <v>48</v>
      </c>
      <c r="AV104">
        <v>1</v>
      </c>
      <c r="AW104">
        <v>1</v>
      </c>
      <c r="AZ104">
        <v>1</v>
      </c>
      <c r="BA104">
        <v>20.88</v>
      </c>
      <c r="BB104">
        <v>3.57</v>
      </c>
      <c r="BC104">
        <v>5.65</v>
      </c>
      <c r="BD104" t="s">
        <v>3</v>
      </c>
      <c r="BE104" t="s">
        <v>3</v>
      </c>
      <c r="BF104" t="s">
        <v>3</v>
      </c>
      <c r="BG104" t="s">
        <v>3</v>
      </c>
      <c r="BH104">
        <v>0</v>
      </c>
      <c r="BI104">
        <v>1</v>
      </c>
      <c r="BJ104" t="s">
        <v>294</v>
      </c>
      <c r="BM104">
        <v>10001</v>
      </c>
      <c r="BN104">
        <v>0</v>
      </c>
      <c r="BO104" t="s">
        <v>291</v>
      </c>
      <c r="BP104">
        <v>1</v>
      </c>
      <c r="BQ104">
        <v>2</v>
      </c>
      <c r="BR104">
        <v>0</v>
      </c>
      <c r="BS104">
        <v>20.88</v>
      </c>
      <c r="BT104">
        <v>1</v>
      </c>
      <c r="BU104">
        <v>1</v>
      </c>
      <c r="BV104">
        <v>1</v>
      </c>
      <c r="BW104">
        <v>1</v>
      </c>
      <c r="BX104">
        <v>1</v>
      </c>
      <c r="BY104" t="s">
        <v>3</v>
      </c>
      <c r="BZ104">
        <v>118</v>
      </c>
      <c r="CA104">
        <v>63</v>
      </c>
      <c r="CF104">
        <v>0</v>
      </c>
      <c r="CG104">
        <v>0</v>
      </c>
      <c r="CM104">
        <v>0</v>
      </c>
      <c r="CN104" t="s">
        <v>937</v>
      </c>
      <c r="CO104">
        <v>0</v>
      </c>
      <c r="CP104">
        <f t="shared" si="84"/>
        <v>927</v>
      </c>
      <c r="CQ104">
        <f t="shared" si="85"/>
        <v>29559.896000000004</v>
      </c>
      <c r="CR104">
        <f t="shared" si="86"/>
        <v>81.860099999999989</v>
      </c>
      <c r="CS104">
        <f t="shared" si="87"/>
        <v>0</v>
      </c>
      <c r="CT104">
        <f t="shared" si="88"/>
        <v>14457.1032</v>
      </c>
      <c r="CU104">
        <f t="shared" si="89"/>
        <v>0</v>
      </c>
      <c r="CV104">
        <f t="shared" si="90"/>
        <v>81.649999999999991</v>
      </c>
      <c r="CW104">
        <f t="shared" si="91"/>
        <v>0</v>
      </c>
      <c r="CX104">
        <f t="shared" si="92"/>
        <v>0</v>
      </c>
      <c r="CY104">
        <f t="shared" si="93"/>
        <v>224.96</v>
      </c>
      <c r="CZ104">
        <f t="shared" si="94"/>
        <v>145.91999999999999</v>
      </c>
      <c r="DC104" t="s">
        <v>3</v>
      </c>
      <c r="DD104" t="s">
        <v>3</v>
      </c>
      <c r="DE104" t="s">
        <v>160</v>
      </c>
      <c r="DF104" t="s">
        <v>160</v>
      </c>
      <c r="DG104" t="s">
        <v>161</v>
      </c>
      <c r="DH104" t="s">
        <v>3</v>
      </c>
      <c r="DI104" t="s">
        <v>161</v>
      </c>
      <c r="DJ104" t="s">
        <v>160</v>
      </c>
      <c r="DK104" t="s">
        <v>3</v>
      </c>
      <c r="DL104" t="s">
        <v>3</v>
      </c>
      <c r="DM104" t="s">
        <v>3</v>
      </c>
      <c r="DN104">
        <v>0</v>
      </c>
      <c r="DO104">
        <v>0</v>
      </c>
      <c r="DP104">
        <v>1</v>
      </c>
      <c r="DQ104">
        <v>1</v>
      </c>
      <c r="DU104">
        <v>1005</v>
      </c>
      <c r="DV104" t="s">
        <v>293</v>
      </c>
      <c r="DW104" t="s">
        <v>293</v>
      </c>
      <c r="DX104">
        <v>100</v>
      </c>
      <c r="EE104">
        <v>45269176</v>
      </c>
      <c r="EF104">
        <v>2</v>
      </c>
      <c r="EG104" t="s">
        <v>19</v>
      </c>
      <c r="EH104">
        <v>0</v>
      </c>
      <c r="EI104" t="s">
        <v>3</v>
      </c>
      <c r="EJ104">
        <v>1</v>
      </c>
      <c r="EK104">
        <v>10001</v>
      </c>
      <c r="EL104" t="s">
        <v>242</v>
      </c>
      <c r="EM104" t="s">
        <v>243</v>
      </c>
      <c r="EO104" t="s">
        <v>162</v>
      </c>
      <c r="EQ104">
        <v>0</v>
      </c>
      <c r="ER104">
        <v>5852.26</v>
      </c>
      <c r="ES104">
        <v>5231.84</v>
      </c>
      <c r="ET104">
        <v>18.34</v>
      </c>
      <c r="EU104">
        <v>0</v>
      </c>
      <c r="EV104">
        <v>602.08000000000004</v>
      </c>
      <c r="EW104">
        <v>71</v>
      </c>
      <c r="EX104">
        <v>0</v>
      </c>
      <c r="EY104">
        <v>0</v>
      </c>
      <c r="FQ104">
        <v>0</v>
      </c>
      <c r="FR104">
        <f t="shared" si="95"/>
        <v>0</v>
      </c>
      <c r="FS104">
        <v>0</v>
      </c>
      <c r="FT104" t="s">
        <v>22</v>
      </c>
      <c r="FU104" t="s">
        <v>23</v>
      </c>
      <c r="FX104">
        <v>74.34</v>
      </c>
      <c r="FY104">
        <v>48.195</v>
      </c>
      <c r="GA104" t="s">
        <v>3</v>
      </c>
      <c r="GD104">
        <v>0</v>
      </c>
      <c r="GF104">
        <v>1329613315</v>
      </c>
      <c r="GG104">
        <v>2</v>
      </c>
      <c r="GH104">
        <v>1</v>
      </c>
      <c r="GI104">
        <v>2</v>
      </c>
      <c r="GJ104">
        <v>0</v>
      </c>
      <c r="GK104">
        <f>ROUND(R104*(R12)/100,0)</f>
        <v>0</v>
      </c>
      <c r="GL104">
        <f t="shared" si="96"/>
        <v>0</v>
      </c>
      <c r="GM104">
        <f t="shared" si="97"/>
        <v>1298</v>
      </c>
      <c r="GN104">
        <f t="shared" si="98"/>
        <v>1298</v>
      </c>
      <c r="GO104">
        <f t="shared" si="99"/>
        <v>0</v>
      </c>
      <c r="GP104">
        <f t="shared" si="100"/>
        <v>0</v>
      </c>
      <c r="GR104">
        <v>0</v>
      </c>
      <c r="GS104">
        <v>3</v>
      </c>
      <c r="GT104">
        <v>0</v>
      </c>
      <c r="GU104" t="s">
        <v>3</v>
      </c>
      <c r="GV104">
        <f t="shared" si="101"/>
        <v>0</v>
      </c>
      <c r="GW104">
        <v>1</v>
      </c>
      <c r="GX104">
        <f t="shared" si="102"/>
        <v>0</v>
      </c>
      <c r="HA104">
        <v>0</v>
      </c>
      <c r="HB104">
        <v>0</v>
      </c>
      <c r="IK104">
        <v>0</v>
      </c>
    </row>
    <row r="106" spans="1:245">
      <c r="A106" s="2">
        <v>51</v>
      </c>
      <c r="B106" s="2">
        <f>B72</f>
        <v>1</v>
      </c>
      <c r="C106" s="2">
        <f>A72</f>
        <v>4</v>
      </c>
      <c r="D106" s="2">
        <f>ROW(A72)</f>
        <v>72</v>
      </c>
      <c r="E106" s="2"/>
      <c r="F106" s="2" t="str">
        <f>IF(F72&lt;&gt;"",F72,"")</f>
        <v>2</v>
      </c>
      <c r="G106" s="2" t="str">
        <f>IF(G72&lt;&gt;"",G72,"")</f>
        <v>Отделочные работы</v>
      </c>
      <c r="H106" s="2">
        <v>0</v>
      </c>
      <c r="I106" s="2"/>
      <c r="J106" s="2"/>
      <c r="K106" s="2"/>
      <c r="L106" s="2"/>
      <c r="M106" s="2"/>
      <c r="N106" s="2"/>
      <c r="O106" s="2">
        <f t="shared" ref="O106:T106" si="110">ROUND(AB106,0)</f>
        <v>77111</v>
      </c>
      <c r="P106" s="2">
        <f t="shared" si="110"/>
        <v>56710</v>
      </c>
      <c r="Q106" s="2">
        <f t="shared" si="110"/>
        <v>1378</v>
      </c>
      <c r="R106" s="2">
        <f t="shared" si="110"/>
        <v>600</v>
      </c>
      <c r="S106" s="2">
        <f t="shared" si="110"/>
        <v>19023</v>
      </c>
      <c r="T106" s="2">
        <f t="shared" si="110"/>
        <v>0</v>
      </c>
      <c r="U106" s="2">
        <f>AH106</f>
        <v>105.3660328</v>
      </c>
      <c r="V106" s="2">
        <f>AI106</f>
        <v>2.9800850000000003</v>
      </c>
      <c r="W106" s="2">
        <f>ROUND(AJ106,0)</f>
        <v>0</v>
      </c>
      <c r="X106" s="2">
        <f>ROUND(AK106,0)</f>
        <v>13838</v>
      </c>
      <c r="Y106" s="2">
        <f>ROUND(AL106,0)</f>
        <v>9571</v>
      </c>
      <c r="Z106" s="2"/>
      <c r="AA106" s="2"/>
      <c r="AB106" s="2">
        <f>ROUND(SUMIF(AA76:AA104,"=48370320",O76:O104),0)</f>
        <v>77111</v>
      </c>
      <c r="AC106" s="2">
        <f>ROUND(SUMIF(AA76:AA104,"=48370320",P76:P104),0)</f>
        <v>56710</v>
      </c>
      <c r="AD106" s="2">
        <f>ROUND(SUMIF(AA76:AA104,"=48370320",Q76:Q104),0)</f>
        <v>1378</v>
      </c>
      <c r="AE106" s="2">
        <f>ROUND(SUMIF(AA76:AA104,"=48370320",R76:R104),0)</f>
        <v>600</v>
      </c>
      <c r="AF106" s="2">
        <f>ROUND(SUMIF(AA76:AA104,"=48370320",S76:S104),0)</f>
        <v>19023</v>
      </c>
      <c r="AG106" s="2">
        <f>ROUND(SUMIF(AA76:AA104,"=48370320",T76:T104),0)</f>
        <v>0</v>
      </c>
      <c r="AH106" s="2">
        <f>SUMIF(AA76:AA104,"=48370320",U76:U104)</f>
        <v>105.3660328</v>
      </c>
      <c r="AI106" s="2">
        <f>SUMIF(AA76:AA104,"=48370320",V76:V104)</f>
        <v>2.9800850000000003</v>
      </c>
      <c r="AJ106" s="2">
        <f>ROUND(SUMIF(AA76:AA104,"=48370320",W76:W104),0)</f>
        <v>0</v>
      </c>
      <c r="AK106" s="2">
        <f>ROUND(SUMIF(AA76:AA104,"=48370320",X76:X104),0)</f>
        <v>13838</v>
      </c>
      <c r="AL106" s="2">
        <f>ROUND(SUMIF(AA76:AA104,"=48370320",Y76:Y104),0)</f>
        <v>9571</v>
      </c>
      <c r="AM106" s="2"/>
      <c r="AN106" s="2"/>
      <c r="AO106" s="2">
        <f t="shared" ref="AO106:BC106" si="111">ROUND(BX106,0)</f>
        <v>0</v>
      </c>
      <c r="AP106" s="2">
        <f t="shared" si="111"/>
        <v>0</v>
      </c>
      <c r="AQ106" s="2">
        <f t="shared" si="111"/>
        <v>0</v>
      </c>
      <c r="AR106" s="2">
        <f t="shared" si="111"/>
        <v>100520</v>
      </c>
      <c r="AS106" s="2">
        <f t="shared" si="111"/>
        <v>98370</v>
      </c>
      <c r="AT106" s="2">
        <f t="shared" si="111"/>
        <v>2150</v>
      </c>
      <c r="AU106" s="2">
        <f t="shared" si="111"/>
        <v>0</v>
      </c>
      <c r="AV106" s="2">
        <f t="shared" si="111"/>
        <v>56710</v>
      </c>
      <c r="AW106" s="2">
        <f t="shared" si="111"/>
        <v>56710</v>
      </c>
      <c r="AX106" s="2">
        <f t="shared" si="111"/>
        <v>0</v>
      </c>
      <c r="AY106" s="2">
        <f t="shared" si="111"/>
        <v>56710</v>
      </c>
      <c r="AZ106" s="2">
        <f t="shared" si="111"/>
        <v>0</v>
      </c>
      <c r="BA106" s="2">
        <f t="shared" si="111"/>
        <v>0</v>
      </c>
      <c r="BB106" s="2">
        <f t="shared" si="111"/>
        <v>0</v>
      </c>
      <c r="BC106" s="2">
        <f t="shared" si="111"/>
        <v>0</v>
      </c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>
        <f>ROUND(SUMIF(AA76:AA104,"=48370320",FQ76:FQ104),0)</f>
        <v>0</v>
      </c>
      <c r="BY106" s="2">
        <f>ROUND(SUMIF(AA76:AA104,"=48370320",FR76:FR104),0)</f>
        <v>0</v>
      </c>
      <c r="BZ106" s="2">
        <f>ROUND(SUMIF(AA76:AA104,"=48370320",GL76:GL104),0)</f>
        <v>0</v>
      </c>
      <c r="CA106" s="2">
        <f>ROUND(SUMIF(AA76:AA104,"=48370320",GM76:GM104),0)</f>
        <v>100520</v>
      </c>
      <c r="CB106" s="2">
        <f>ROUND(SUMIF(AA76:AA104,"=48370320",GN76:GN104),0)</f>
        <v>98370</v>
      </c>
      <c r="CC106" s="2">
        <f>ROUND(SUMIF(AA76:AA104,"=48370320",GO76:GO104),0)</f>
        <v>2150</v>
      </c>
      <c r="CD106" s="2">
        <f>ROUND(SUMIF(AA76:AA104,"=48370320",GP76:GP104),0)</f>
        <v>0</v>
      </c>
      <c r="CE106" s="2">
        <f>AC106-BX106</f>
        <v>56710</v>
      </c>
      <c r="CF106" s="2">
        <f>AC106-BY106</f>
        <v>56710</v>
      </c>
      <c r="CG106" s="2">
        <f>BX106-BZ106</f>
        <v>0</v>
      </c>
      <c r="CH106" s="2">
        <f>AC106-BX106-BY106+BZ106</f>
        <v>56710</v>
      </c>
      <c r="CI106" s="2">
        <f>BY106-BZ106</f>
        <v>0</v>
      </c>
      <c r="CJ106" s="2">
        <f>ROUND(SUMIF(AA76:AA104,"=48370320",GX76:GX104),0)</f>
        <v>0</v>
      </c>
      <c r="CK106" s="2">
        <f>ROUND(SUMIF(AA76:AA104,"=48370320",GY76:GY104),0)</f>
        <v>0</v>
      </c>
      <c r="CL106" s="2">
        <f>ROUND(SUMIF(AA76:AA104,"=48370320",GZ76:GZ104),0)</f>
        <v>0</v>
      </c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>
        <v>0</v>
      </c>
    </row>
    <row r="108" spans="1:245">
      <c r="A108" s="4">
        <v>50</v>
      </c>
      <c r="B108" s="4">
        <v>0</v>
      </c>
      <c r="C108" s="4">
        <v>0</v>
      </c>
      <c r="D108" s="4">
        <v>1</v>
      </c>
      <c r="E108" s="4">
        <v>201</v>
      </c>
      <c r="F108" s="4">
        <f>ROUND(Source!O106,O108)</f>
        <v>77111</v>
      </c>
      <c r="G108" s="4" t="s">
        <v>104</v>
      </c>
      <c r="H108" s="4" t="s">
        <v>105</v>
      </c>
      <c r="I108" s="4"/>
      <c r="J108" s="4"/>
      <c r="K108" s="4">
        <v>201</v>
      </c>
      <c r="L108" s="4">
        <v>1</v>
      </c>
      <c r="M108" s="4">
        <v>3</v>
      </c>
      <c r="N108" s="4" t="s">
        <v>3</v>
      </c>
      <c r="O108" s="4">
        <v>0</v>
      </c>
      <c r="P108" s="4"/>
      <c r="Q108" s="4"/>
      <c r="R108" s="4"/>
      <c r="S108" s="4"/>
      <c r="T108" s="4"/>
      <c r="U108" s="4"/>
      <c r="V108" s="4"/>
      <c r="W108" s="4"/>
    </row>
    <row r="109" spans="1:245">
      <c r="A109" s="4">
        <v>50</v>
      </c>
      <c r="B109" s="4">
        <v>0</v>
      </c>
      <c r="C109" s="4">
        <v>0</v>
      </c>
      <c r="D109" s="4">
        <v>1</v>
      </c>
      <c r="E109" s="4">
        <v>202</v>
      </c>
      <c r="F109" s="4">
        <f>ROUND(Source!P106,O109)</f>
        <v>56710</v>
      </c>
      <c r="G109" s="4" t="s">
        <v>106</v>
      </c>
      <c r="H109" s="4" t="s">
        <v>107</v>
      </c>
      <c r="I109" s="4"/>
      <c r="J109" s="4"/>
      <c r="K109" s="4">
        <v>202</v>
      </c>
      <c r="L109" s="4">
        <v>2</v>
      </c>
      <c r="M109" s="4">
        <v>3</v>
      </c>
      <c r="N109" s="4" t="s">
        <v>3</v>
      </c>
      <c r="O109" s="4">
        <v>0</v>
      </c>
      <c r="P109" s="4"/>
      <c r="Q109" s="4"/>
      <c r="R109" s="4"/>
      <c r="S109" s="4"/>
      <c r="T109" s="4"/>
      <c r="U109" s="4"/>
      <c r="V109" s="4"/>
      <c r="W109" s="4"/>
    </row>
    <row r="110" spans="1:245">
      <c r="A110" s="4">
        <v>50</v>
      </c>
      <c r="B110" s="4">
        <v>0</v>
      </c>
      <c r="C110" s="4">
        <v>0</v>
      </c>
      <c r="D110" s="4">
        <v>1</v>
      </c>
      <c r="E110" s="4">
        <v>222</v>
      </c>
      <c r="F110" s="4">
        <f>ROUND(Source!AO106,O110)</f>
        <v>0</v>
      </c>
      <c r="G110" s="4" t="s">
        <v>108</v>
      </c>
      <c r="H110" s="4" t="s">
        <v>109</v>
      </c>
      <c r="I110" s="4"/>
      <c r="J110" s="4"/>
      <c r="K110" s="4">
        <v>222</v>
      </c>
      <c r="L110" s="4">
        <v>3</v>
      </c>
      <c r="M110" s="4">
        <v>3</v>
      </c>
      <c r="N110" s="4" t="s">
        <v>3</v>
      </c>
      <c r="O110" s="4">
        <v>0</v>
      </c>
      <c r="P110" s="4"/>
      <c r="Q110" s="4"/>
      <c r="R110" s="4"/>
      <c r="S110" s="4"/>
      <c r="T110" s="4"/>
      <c r="U110" s="4"/>
      <c r="V110" s="4"/>
      <c r="W110" s="4"/>
    </row>
    <row r="111" spans="1:245">
      <c r="A111" s="4">
        <v>50</v>
      </c>
      <c r="B111" s="4">
        <v>0</v>
      </c>
      <c r="C111" s="4">
        <v>0</v>
      </c>
      <c r="D111" s="4">
        <v>1</v>
      </c>
      <c r="E111" s="4">
        <v>225</v>
      </c>
      <c r="F111" s="4">
        <f>ROUND(Source!AV106,O111)</f>
        <v>56710</v>
      </c>
      <c r="G111" s="4" t="s">
        <v>110</v>
      </c>
      <c r="H111" s="4" t="s">
        <v>111</v>
      </c>
      <c r="I111" s="4"/>
      <c r="J111" s="4"/>
      <c r="K111" s="4">
        <v>225</v>
      </c>
      <c r="L111" s="4">
        <v>4</v>
      </c>
      <c r="M111" s="4">
        <v>3</v>
      </c>
      <c r="N111" s="4" t="s">
        <v>3</v>
      </c>
      <c r="O111" s="4">
        <v>0</v>
      </c>
      <c r="P111" s="4"/>
      <c r="Q111" s="4"/>
      <c r="R111" s="4"/>
      <c r="S111" s="4"/>
      <c r="T111" s="4"/>
      <c r="U111" s="4"/>
      <c r="V111" s="4"/>
      <c r="W111" s="4"/>
    </row>
    <row r="112" spans="1:245">
      <c r="A112" s="4">
        <v>50</v>
      </c>
      <c r="B112" s="4">
        <v>0</v>
      </c>
      <c r="C112" s="4">
        <v>0</v>
      </c>
      <c r="D112" s="4">
        <v>1</v>
      </c>
      <c r="E112" s="4">
        <v>226</v>
      </c>
      <c r="F112" s="4">
        <f>ROUND(Source!AW106,O112)</f>
        <v>56710</v>
      </c>
      <c r="G112" s="4" t="s">
        <v>112</v>
      </c>
      <c r="H112" s="4" t="s">
        <v>113</v>
      </c>
      <c r="I112" s="4"/>
      <c r="J112" s="4"/>
      <c r="K112" s="4">
        <v>226</v>
      </c>
      <c r="L112" s="4">
        <v>5</v>
      </c>
      <c r="M112" s="4">
        <v>3</v>
      </c>
      <c r="N112" s="4" t="s">
        <v>3</v>
      </c>
      <c r="O112" s="4">
        <v>0</v>
      </c>
      <c r="P112" s="4"/>
      <c r="Q112" s="4"/>
      <c r="R112" s="4"/>
      <c r="S112" s="4"/>
      <c r="T112" s="4"/>
      <c r="U112" s="4"/>
      <c r="V112" s="4"/>
      <c r="W112" s="4"/>
    </row>
    <row r="113" spans="1:23">
      <c r="A113" s="4">
        <v>50</v>
      </c>
      <c r="B113" s="4">
        <v>0</v>
      </c>
      <c r="C113" s="4">
        <v>0</v>
      </c>
      <c r="D113" s="4">
        <v>1</v>
      </c>
      <c r="E113" s="4">
        <v>227</v>
      </c>
      <c r="F113" s="4">
        <f>ROUND(Source!AX106,O113)</f>
        <v>0</v>
      </c>
      <c r="G113" s="4" t="s">
        <v>114</v>
      </c>
      <c r="H113" s="4" t="s">
        <v>115</v>
      </c>
      <c r="I113" s="4"/>
      <c r="J113" s="4"/>
      <c r="K113" s="4">
        <v>227</v>
      </c>
      <c r="L113" s="4">
        <v>6</v>
      </c>
      <c r="M113" s="4">
        <v>3</v>
      </c>
      <c r="N113" s="4" t="s">
        <v>3</v>
      </c>
      <c r="O113" s="4">
        <v>0</v>
      </c>
      <c r="P113" s="4"/>
      <c r="Q113" s="4"/>
      <c r="R113" s="4"/>
      <c r="S113" s="4"/>
      <c r="T113" s="4"/>
      <c r="U113" s="4"/>
      <c r="V113" s="4"/>
      <c r="W113" s="4"/>
    </row>
    <row r="114" spans="1:23">
      <c r="A114" s="4">
        <v>50</v>
      </c>
      <c r="B114" s="4">
        <v>0</v>
      </c>
      <c r="C114" s="4">
        <v>0</v>
      </c>
      <c r="D114" s="4">
        <v>1</v>
      </c>
      <c r="E114" s="4">
        <v>228</v>
      </c>
      <c r="F114" s="4">
        <f>ROUND(Source!AY106,O114)</f>
        <v>56710</v>
      </c>
      <c r="G114" s="4" t="s">
        <v>116</v>
      </c>
      <c r="H114" s="4" t="s">
        <v>117</v>
      </c>
      <c r="I114" s="4"/>
      <c r="J114" s="4"/>
      <c r="K114" s="4">
        <v>228</v>
      </c>
      <c r="L114" s="4">
        <v>7</v>
      </c>
      <c r="M114" s="4">
        <v>3</v>
      </c>
      <c r="N114" s="4" t="s">
        <v>3</v>
      </c>
      <c r="O114" s="4">
        <v>0</v>
      </c>
      <c r="P114" s="4"/>
      <c r="Q114" s="4"/>
      <c r="R114" s="4"/>
      <c r="S114" s="4"/>
      <c r="T114" s="4"/>
      <c r="U114" s="4"/>
      <c r="V114" s="4"/>
      <c r="W114" s="4"/>
    </row>
    <row r="115" spans="1:23">
      <c r="A115" s="4">
        <v>50</v>
      </c>
      <c r="B115" s="4">
        <v>0</v>
      </c>
      <c r="C115" s="4">
        <v>0</v>
      </c>
      <c r="D115" s="4">
        <v>1</v>
      </c>
      <c r="E115" s="4">
        <v>216</v>
      </c>
      <c r="F115" s="4">
        <f>ROUND(Source!AP106,O115)</f>
        <v>0</v>
      </c>
      <c r="G115" s="4" t="s">
        <v>118</v>
      </c>
      <c r="H115" s="4" t="s">
        <v>119</v>
      </c>
      <c r="I115" s="4"/>
      <c r="J115" s="4"/>
      <c r="K115" s="4">
        <v>216</v>
      </c>
      <c r="L115" s="4">
        <v>8</v>
      </c>
      <c r="M115" s="4">
        <v>3</v>
      </c>
      <c r="N115" s="4" t="s">
        <v>3</v>
      </c>
      <c r="O115" s="4">
        <v>0</v>
      </c>
      <c r="P115" s="4"/>
      <c r="Q115" s="4"/>
      <c r="R115" s="4"/>
      <c r="S115" s="4"/>
      <c r="T115" s="4"/>
      <c r="U115" s="4"/>
      <c r="V115" s="4"/>
      <c r="W115" s="4"/>
    </row>
    <row r="116" spans="1:23">
      <c r="A116" s="4">
        <v>50</v>
      </c>
      <c r="B116" s="4">
        <v>0</v>
      </c>
      <c r="C116" s="4">
        <v>0</v>
      </c>
      <c r="D116" s="4">
        <v>1</v>
      </c>
      <c r="E116" s="4">
        <v>223</v>
      </c>
      <c r="F116" s="4">
        <f>ROUND(Source!AQ106,O116)</f>
        <v>0</v>
      </c>
      <c r="G116" s="4" t="s">
        <v>120</v>
      </c>
      <c r="H116" s="4" t="s">
        <v>121</v>
      </c>
      <c r="I116" s="4"/>
      <c r="J116" s="4"/>
      <c r="K116" s="4">
        <v>223</v>
      </c>
      <c r="L116" s="4">
        <v>9</v>
      </c>
      <c r="M116" s="4">
        <v>3</v>
      </c>
      <c r="N116" s="4" t="s">
        <v>3</v>
      </c>
      <c r="O116" s="4">
        <v>0</v>
      </c>
      <c r="P116" s="4"/>
      <c r="Q116" s="4"/>
      <c r="R116" s="4"/>
      <c r="S116" s="4"/>
      <c r="T116" s="4"/>
      <c r="U116" s="4"/>
      <c r="V116" s="4"/>
      <c r="W116" s="4"/>
    </row>
    <row r="117" spans="1:23">
      <c r="A117" s="4">
        <v>50</v>
      </c>
      <c r="B117" s="4">
        <v>0</v>
      </c>
      <c r="C117" s="4">
        <v>0</v>
      </c>
      <c r="D117" s="4">
        <v>1</v>
      </c>
      <c r="E117" s="4">
        <v>229</v>
      </c>
      <c r="F117" s="4">
        <f>ROUND(Source!AZ106,O117)</f>
        <v>0</v>
      </c>
      <c r="G117" s="4" t="s">
        <v>122</v>
      </c>
      <c r="H117" s="4" t="s">
        <v>123</v>
      </c>
      <c r="I117" s="4"/>
      <c r="J117" s="4"/>
      <c r="K117" s="4">
        <v>229</v>
      </c>
      <c r="L117" s="4">
        <v>10</v>
      </c>
      <c r="M117" s="4">
        <v>3</v>
      </c>
      <c r="N117" s="4" t="s">
        <v>3</v>
      </c>
      <c r="O117" s="4">
        <v>0</v>
      </c>
      <c r="P117" s="4"/>
      <c r="Q117" s="4"/>
      <c r="R117" s="4"/>
      <c r="S117" s="4"/>
      <c r="T117" s="4"/>
      <c r="U117" s="4"/>
      <c r="V117" s="4"/>
      <c r="W117" s="4"/>
    </row>
    <row r="118" spans="1:23">
      <c r="A118" s="4">
        <v>50</v>
      </c>
      <c r="B118" s="4">
        <v>0</v>
      </c>
      <c r="C118" s="4">
        <v>0</v>
      </c>
      <c r="D118" s="4">
        <v>1</v>
      </c>
      <c r="E118" s="4">
        <v>203</v>
      </c>
      <c r="F118" s="4">
        <f>ROUND(Source!Q106,O118)</f>
        <v>1378</v>
      </c>
      <c r="G118" s="4" t="s">
        <v>124</v>
      </c>
      <c r="H118" s="4" t="s">
        <v>125</v>
      </c>
      <c r="I118" s="4"/>
      <c r="J118" s="4"/>
      <c r="K118" s="4">
        <v>203</v>
      </c>
      <c r="L118" s="4">
        <v>11</v>
      </c>
      <c r="M118" s="4">
        <v>3</v>
      </c>
      <c r="N118" s="4" t="s">
        <v>3</v>
      </c>
      <c r="O118" s="4">
        <v>0</v>
      </c>
      <c r="P118" s="4"/>
      <c r="Q118" s="4"/>
      <c r="R118" s="4"/>
      <c r="S118" s="4"/>
      <c r="T118" s="4"/>
      <c r="U118" s="4"/>
      <c r="V118" s="4"/>
      <c r="W118" s="4"/>
    </row>
    <row r="119" spans="1:23">
      <c r="A119" s="4">
        <v>50</v>
      </c>
      <c r="B119" s="4">
        <v>0</v>
      </c>
      <c r="C119" s="4">
        <v>0</v>
      </c>
      <c r="D119" s="4">
        <v>1</v>
      </c>
      <c r="E119" s="4">
        <v>231</v>
      </c>
      <c r="F119" s="4">
        <f>ROUND(Source!BB106,O119)</f>
        <v>0</v>
      </c>
      <c r="G119" s="4" t="s">
        <v>126</v>
      </c>
      <c r="H119" s="4" t="s">
        <v>127</v>
      </c>
      <c r="I119" s="4"/>
      <c r="J119" s="4"/>
      <c r="K119" s="4">
        <v>231</v>
      </c>
      <c r="L119" s="4">
        <v>12</v>
      </c>
      <c r="M119" s="4">
        <v>3</v>
      </c>
      <c r="N119" s="4" t="s">
        <v>3</v>
      </c>
      <c r="O119" s="4">
        <v>0</v>
      </c>
      <c r="P119" s="4"/>
      <c r="Q119" s="4"/>
      <c r="R119" s="4"/>
      <c r="S119" s="4"/>
      <c r="T119" s="4"/>
      <c r="U119" s="4"/>
      <c r="V119" s="4"/>
      <c r="W119" s="4"/>
    </row>
    <row r="120" spans="1:23">
      <c r="A120" s="4">
        <v>50</v>
      </c>
      <c r="B120" s="4">
        <v>0</v>
      </c>
      <c r="C120" s="4">
        <v>0</v>
      </c>
      <c r="D120" s="4">
        <v>1</v>
      </c>
      <c r="E120" s="4">
        <v>204</v>
      </c>
      <c r="F120" s="4">
        <f>ROUND(Source!R106,O120)</f>
        <v>600</v>
      </c>
      <c r="G120" s="4" t="s">
        <v>128</v>
      </c>
      <c r="H120" s="4" t="s">
        <v>129</v>
      </c>
      <c r="I120" s="4"/>
      <c r="J120" s="4"/>
      <c r="K120" s="4">
        <v>204</v>
      </c>
      <c r="L120" s="4">
        <v>13</v>
      </c>
      <c r="M120" s="4">
        <v>3</v>
      </c>
      <c r="N120" s="4" t="s">
        <v>3</v>
      </c>
      <c r="O120" s="4">
        <v>0</v>
      </c>
      <c r="P120" s="4"/>
      <c r="Q120" s="4"/>
      <c r="R120" s="4"/>
      <c r="S120" s="4"/>
      <c r="T120" s="4"/>
      <c r="U120" s="4"/>
      <c r="V120" s="4"/>
      <c r="W120" s="4"/>
    </row>
    <row r="121" spans="1:23">
      <c r="A121" s="4">
        <v>50</v>
      </c>
      <c r="B121" s="4">
        <v>0</v>
      </c>
      <c r="C121" s="4">
        <v>0</v>
      </c>
      <c r="D121" s="4">
        <v>1</v>
      </c>
      <c r="E121" s="4">
        <v>205</v>
      </c>
      <c r="F121" s="4">
        <f>ROUND(Source!S106,O121)</f>
        <v>19023</v>
      </c>
      <c r="G121" s="4" t="s">
        <v>130</v>
      </c>
      <c r="H121" s="4" t="s">
        <v>131</v>
      </c>
      <c r="I121" s="4"/>
      <c r="J121" s="4"/>
      <c r="K121" s="4">
        <v>205</v>
      </c>
      <c r="L121" s="4">
        <v>14</v>
      </c>
      <c r="M121" s="4">
        <v>3</v>
      </c>
      <c r="N121" s="4" t="s">
        <v>3</v>
      </c>
      <c r="O121" s="4">
        <v>0</v>
      </c>
      <c r="P121" s="4"/>
      <c r="Q121" s="4"/>
      <c r="R121" s="4"/>
      <c r="S121" s="4"/>
      <c r="T121" s="4"/>
      <c r="U121" s="4"/>
      <c r="V121" s="4"/>
      <c r="W121" s="4"/>
    </row>
    <row r="122" spans="1:23">
      <c r="A122" s="4">
        <v>50</v>
      </c>
      <c r="B122" s="4">
        <v>0</v>
      </c>
      <c r="C122" s="4">
        <v>0</v>
      </c>
      <c r="D122" s="4">
        <v>1</v>
      </c>
      <c r="E122" s="4">
        <v>232</v>
      </c>
      <c r="F122" s="4">
        <f>ROUND(Source!BC106,O122)</f>
        <v>0</v>
      </c>
      <c r="G122" s="4" t="s">
        <v>132</v>
      </c>
      <c r="H122" s="4" t="s">
        <v>133</v>
      </c>
      <c r="I122" s="4"/>
      <c r="J122" s="4"/>
      <c r="K122" s="4">
        <v>232</v>
      </c>
      <c r="L122" s="4">
        <v>15</v>
      </c>
      <c r="M122" s="4">
        <v>3</v>
      </c>
      <c r="N122" s="4" t="s">
        <v>3</v>
      </c>
      <c r="O122" s="4">
        <v>0</v>
      </c>
      <c r="P122" s="4"/>
      <c r="Q122" s="4"/>
      <c r="R122" s="4"/>
      <c r="S122" s="4"/>
      <c r="T122" s="4"/>
      <c r="U122" s="4"/>
      <c r="V122" s="4"/>
      <c r="W122" s="4"/>
    </row>
    <row r="123" spans="1:23">
      <c r="A123" s="4">
        <v>50</v>
      </c>
      <c r="B123" s="4">
        <v>0</v>
      </c>
      <c r="C123" s="4">
        <v>0</v>
      </c>
      <c r="D123" s="4">
        <v>1</v>
      </c>
      <c r="E123" s="4">
        <v>214</v>
      </c>
      <c r="F123" s="4">
        <f>ROUND(Source!AS106,O123)</f>
        <v>98370</v>
      </c>
      <c r="G123" s="4" t="s">
        <v>134</v>
      </c>
      <c r="H123" s="4" t="s">
        <v>135</v>
      </c>
      <c r="I123" s="4"/>
      <c r="J123" s="4"/>
      <c r="K123" s="4">
        <v>214</v>
      </c>
      <c r="L123" s="4">
        <v>16</v>
      </c>
      <c r="M123" s="4">
        <v>3</v>
      </c>
      <c r="N123" s="4" t="s">
        <v>3</v>
      </c>
      <c r="O123" s="4">
        <v>0</v>
      </c>
      <c r="P123" s="4"/>
      <c r="Q123" s="4"/>
      <c r="R123" s="4"/>
      <c r="S123" s="4"/>
      <c r="T123" s="4"/>
      <c r="U123" s="4"/>
      <c r="V123" s="4"/>
      <c r="W123" s="4"/>
    </row>
    <row r="124" spans="1:23">
      <c r="A124" s="4">
        <v>50</v>
      </c>
      <c r="B124" s="4">
        <v>0</v>
      </c>
      <c r="C124" s="4">
        <v>0</v>
      </c>
      <c r="D124" s="4">
        <v>1</v>
      </c>
      <c r="E124" s="4">
        <v>215</v>
      </c>
      <c r="F124" s="4">
        <f>ROUND(Source!AT106,O124)</f>
        <v>2150</v>
      </c>
      <c r="G124" s="4" t="s">
        <v>136</v>
      </c>
      <c r="H124" s="4" t="s">
        <v>137</v>
      </c>
      <c r="I124" s="4"/>
      <c r="J124" s="4"/>
      <c r="K124" s="4">
        <v>215</v>
      </c>
      <c r="L124" s="4">
        <v>17</v>
      </c>
      <c r="M124" s="4">
        <v>3</v>
      </c>
      <c r="N124" s="4" t="s">
        <v>3</v>
      </c>
      <c r="O124" s="4">
        <v>0</v>
      </c>
      <c r="P124" s="4"/>
      <c r="Q124" s="4"/>
      <c r="R124" s="4"/>
      <c r="S124" s="4"/>
      <c r="T124" s="4"/>
      <c r="U124" s="4"/>
      <c r="V124" s="4"/>
      <c r="W124" s="4"/>
    </row>
    <row r="125" spans="1:23">
      <c r="A125" s="4">
        <v>50</v>
      </c>
      <c r="B125" s="4">
        <v>0</v>
      </c>
      <c r="C125" s="4">
        <v>0</v>
      </c>
      <c r="D125" s="4">
        <v>1</v>
      </c>
      <c r="E125" s="4">
        <v>217</v>
      </c>
      <c r="F125" s="4">
        <f>ROUND(Source!AU106,O125)</f>
        <v>0</v>
      </c>
      <c r="G125" s="4" t="s">
        <v>138</v>
      </c>
      <c r="H125" s="4" t="s">
        <v>139</v>
      </c>
      <c r="I125" s="4"/>
      <c r="J125" s="4"/>
      <c r="K125" s="4">
        <v>217</v>
      </c>
      <c r="L125" s="4">
        <v>18</v>
      </c>
      <c r="M125" s="4">
        <v>3</v>
      </c>
      <c r="N125" s="4" t="s">
        <v>3</v>
      </c>
      <c r="O125" s="4">
        <v>0</v>
      </c>
      <c r="P125" s="4"/>
      <c r="Q125" s="4"/>
      <c r="R125" s="4"/>
      <c r="S125" s="4"/>
      <c r="T125" s="4"/>
      <c r="U125" s="4"/>
      <c r="V125" s="4"/>
      <c r="W125" s="4"/>
    </row>
    <row r="126" spans="1:23">
      <c r="A126" s="4">
        <v>50</v>
      </c>
      <c r="B126" s="4">
        <v>0</v>
      </c>
      <c r="C126" s="4">
        <v>0</v>
      </c>
      <c r="D126" s="4">
        <v>1</v>
      </c>
      <c r="E126" s="4">
        <v>230</v>
      </c>
      <c r="F126" s="4">
        <f>ROUND(Source!BA106,O126)</f>
        <v>0</v>
      </c>
      <c r="G126" s="4" t="s">
        <v>140</v>
      </c>
      <c r="H126" s="4" t="s">
        <v>141</v>
      </c>
      <c r="I126" s="4"/>
      <c r="J126" s="4"/>
      <c r="K126" s="4">
        <v>230</v>
      </c>
      <c r="L126" s="4">
        <v>19</v>
      </c>
      <c r="M126" s="4">
        <v>3</v>
      </c>
      <c r="N126" s="4" t="s">
        <v>3</v>
      </c>
      <c r="O126" s="4">
        <v>0</v>
      </c>
      <c r="P126" s="4"/>
      <c r="Q126" s="4"/>
      <c r="R126" s="4"/>
      <c r="S126" s="4"/>
      <c r="T126" s="4"/>
      <c r="U126" s="4"/>
      <c r="V126" s="4"/>
      <c r="W126" s="4"/>
    </row>
    <row r="127" spans="1:23">
      <c r="A127" s="4">
        <v>50</v>
      </c>
      <c r="B127" s="4">
        <v>0</v>
      </c>
      <c r="C127" s="4">
        <v>0</v>
      </c>
      <c r="D127" s="4">
        <v>1</v>
      </c>
      <c r="E127" s="4">
        <v>206</v>
      </c>
      <c r="F127" s="4">
        <f>ROUND(Source!T106,O127)</f>
        <v>0</v>
      </c>
      <c r="G127" s="4" t="s">
        <v>142</v>
      </c>
      <c r="H127" s="4" t="s">
        <v>143</v>
      </c>
      <c r="I127" s="4"/>
      <c r="J127" s="4"/>
      <c r="K127" s="4">
        <v>206</v>
      </c>
      <c r="L127" s="4">
        <v>20</v>
      </c>
      <c r="M127" s="4">
        <v>3</v>
      </c>
      <c r="N127" s="4" t="s">
        <v>3</v>
      </c>
      <c r="O127" s="4">
        <v>0</v>
      </c>
      <c r="P127" s="4"/>
      <c r="Q127" s="4"/>
      <c r="R127" s="4"/>
      <c r="S127" s="4"/>
      <c r="T127" s="4"/>
      <c r="U127" s="4"/>
      <c r="V127" s="4"/>
      <c r="W127" s="4"/>
    </row>
    <row r="128" spans="1:23">
      <c r="A128" s="4">
        <v>50</v>
      </c>
      <c r="B128" s="4">
        <v>0</v>
      </c>
      <c r="C128" s="4">
        <v>0</v>
      </c>
      <c r="D128" s="4">
        <v>1</v>
      </c>
      <c r="E128" s="4">
        <v>207</v>
      </c>
      <c r="F128" s="4">
        <f>Source!U106</f>
        <v>105.3660328</v>
      </c>
      <c r="G128" s="4" t="s">
        <v>144</v>
      </c>
      <c r="H128" s="4" t="s">
        <v>145</v>
      </c>
      <c r="I128" s="4"/>
      <c r="J128" s="4"/>
      <c r="K128" s="4">
        <v>207</v>
      </c>
      <c r="L128" s="4">
        <v>21</v>
      </c>
      <c r="M128" s="4">
        <v>3</v>
      </c>
      <c r="N128" s="4" t="s">
        <v>3</v>
      </c>
      <c r="O128" s="4">
        <v>-1</v>
      </c>
      <c r="P128" s="4"/>
      <c r="Q128" s="4"/>
      <c r="R128" s="4"/>
      <c r="S128" s="4"/>
      <c r="T128" s="4"/>
      <c r="U128" s="4"/>
      <c r="V128" s="4"/>
      <c r="W128" s="4"/>
    </row>
    <row r="129" spans="1:245">
      <c r="A129" s="4">
        <v>50</v>
      </c>
      <c r="B129" s="4">
        <v>0</v>
      </c>
      <c r="C129" s="4">
        <v>0</v>
      </c>
      <c r="D129" s="4">
        <v>1</v>
      </c>
      <c r="E129" s="4">
        <v>208</v>
      </c>
      <c r="F129" s="4">
        <f>Source!V106</f>
        <v>2.9800850000000003</v>
      </c>
      <c r="G129" s="4" t="s">
        <v>146</v>
      </c>
      <c r="H129" s="4" t="s">
        <v>147</v>
      </c>
      <c r="I129" s="4"/>
      <c r="J129" s="4"/>
      <c r="K129" s="4">
        <v>208</v>
      </c>
      <c r="L129" s="4">
        <v>22</v>
      </c>
      <c r="M129" s="4">
        <v>3</v>
      </c>
      <c r="N129" s="4" t="s">
        <v>3</v>
      </c>
      <c r="O129" s="4">
        <v>-1</v>
      </c>
      <c r="P129" s="4"/>
      <c r="Q129" s="4"/>
      <c r="R129" s="4"/>
      <c r="S129" s="4"/>
      <c r="T129" s="4"/>
      <c r="U129" s="4"/>
      <c r="V129" s="4"/>
      <c r="W129" s="4"/>
    </row>
    <row r="130" spans="1:245">
      <c r="A130" s="4">
        <v>50</v>
      </c>
      <c r="B130" s="4">
        <v>0</v>
      </c>
      <c r="C130" s="4">
        <v>0</v>
      </c>
      <c r="D130" s="4">
        <v>1</v>
      </c>
      <c r="E130" s="4">
        <v>209</v>
      </c>
      <c r="F130" s="4">
        <f>ROUND(Source!W106,O130)</f>
        <v>0</v>
      </c>
      <c r="G130" s="4" t="s">
        <v>148</v>
      </c>
      <c r="H130" s="4" t="s">
        <v>149</v>
      </c>
      <c r="I130" s="4"/>
      <c r="J130" s="4"/>
      <c r="K130" s="4">
        <v>209</v>
      </c>
      <c r="L130" s="4">
        <v>23</v>
      </c>
      <c r="M130" s="4">
        <v>3</v>
      </c>
      <c r="N130" s="4" t="s">
        <v>3</v>
      </c>
      <c r="O130" s="4">
        <v>0</v>
      </c>
      <c r="P130" s="4"/>
      <c r="Q130" s="4"/>
      <c r="R130" s="4"/>
      <c r="S130" s="4"/>
      <c r="T130" s="4"/>
      <c r="U130" s="4"/>
      <c r="V130" s="4"/>
      <c r="W130" s="4"/>
    </row>
    <row r="131" spans="1:245">
      <c r="A131" s="4">
        <v>50</v>
      </c>
      <c r="B131" s="4">
        <v>0</v>
      </c>
      <c r="C131" s="4">
        <v>0</v>
      </c>
      <c r="D131" s="4">
        <v>1</v>
      </c>
      <c r="E131" s="4">
        <v>210</v>
      </c>
      <c r="F131" s="4">
        <f>ROUND(Source!X106,O131)</f>
        <v>13838</v>
      </c>
      <c r="G131" s="4" t="s">
        <v>150</v>
      </c>
      <c r="H131" s="4" t="s">
        <v>151</v>
      </c>
      <c r="I131" s="4"/>
      <c r="J131" s="4"/>
      <c r="K131" s="4">
        <v>210</v>
      </c>
      <c r="L131" s="4">
        <v>24</v>
      </c>
      <c r="M131" s="4">
        <v>3</v>
      </c>
      <c r="N131" s="4" t="s">
        <v>3</v>
      </c>
      <c r="O131" s="4">
        <v>0</v>
      </c>
      <c r="P131" s="4"/>
      <c r="Q131" s="4"/>
      <c r="R131" s="4"/>
      <c r="S131" s="4"/>
      <c r="T131" s="4"/>
      <c r="U131" s="4"/>
      <c r="V131" s="4"/>
      <c r="W131" s="4"/>
    </row>
    <row r="132" spans="1:245">
      <c r="A132" s="4">
        <v>50</v>
      </c>
      <c r="B132" s="4">
        <v>0</v>
      </c>
      <c r="C132" s="4">
        <v>0</v>
      </c>
      <c r="D132" s="4">
        <v>1</v>
      </c>
      <c r="E132" s="4">
        <v>211</v>
      </c>
      <c r="F132" s="4">
        <f>ROUND(Source!Y106,O132)</f>
        <v>9571</v>
      </c>
      <c r="G132" s="4" t="s">
        <v>152</v>
      </c>
      <c r="H132" s="4" t="s">
        <v>153</v>
      </c>
      <c r="I132" s="4"/>
      <c r="J132" s="4"/>
      <c r="K132" s="4">
        <v>211</v>
      </c>
      <c r="L132" s="4">
        <v>25</v>
      </c>
      <c r="M132" s="4">
        <v>3</v>
      </c>
      <c r="N132" s="4" t="s">
        <v>3</v>
      </c>
      <c r="O132" s="4">
        <v>0</v>
      </c>
      <c r="P132" s="4"/>
      <c r="Q132" s="4"/>
      <c r="R132" s="4"/>
      <c r="S132" s="4"/>
      <c r="T132" s="4"/>
      <c r="U132" s="4"/>
      <c r="V132" s="4"/>
      <c r="W132" s="4"/>
    </row>
    <row r="133" spans="1:245">
      <c r="A133" s="4">
        <v>50</v>
      </c>
      <c r="B133" s="4">
        <v>0</v>
      </c>
      <c r="C133" s="4">
        <v>0</v>
      </c>
      <c r="D133" s="4">
        <v>1</v>
      </c>
      <c r="E133" s="4">
        <v>224</v>
      </c>
      <c r="F133" s="4">
        <f>ROUND(Source!AR106,O133)</f>
        <v>100520</v>
      </c>
      <c r="G133" s="4" t="s">
        <v>154</v>
      </c>
      <c r="H133" s="4" t="s">
        <v>155</v>
      </c>
      <c r="I133" s="4"/>
      <c r="J133" s="4"/>
      <c r="K133" s="4">
        <v>224</v>
      </c>
      <c r="L133" s="4">
        <v>26</v>
      </c>
      <c r="M133" s="4">
        <v>3</v>
      </c>
      <c r="N133" s="4" t="s">
        <v>3</v>
      </c>
      <c r="O133" s="4">
        <v>0</v>
      </c>
      <c r="P133" s="4"/>
      <c r="Q133" s="4"/>
      <c r="R133" s="4"/>
      <c r="S133" s="4"/>
      <c r="T133" s="4"/>
      <c r="U133" s="4"/>
      <c r="V133" s="4"/>
      <c r="W133" s="4"/>
    </row>
    <row r="134" spans="1:245">
      <c r="A134" s="4">
        <v>50</v>
      </c>
      <c r="B134" s="4">
        <v>1</v>
      </c>
      <c r="C134" s="4">
        <v>0</v>
      </c>
      <c r="D134" s="4">
        <v>2</v>
      </c>
      <c r="E134" s="4">
        <v>213</v>
      </c>
      <c r="F134" s="4">
        <f>ROUND(F133,O134)</f>
        <v>100520</v>
      </c>
      <c r="G134" s="4" t="s">
        <v>156</v>
      </c>
      <c r="H134" s="4" t="s">
        <v>156</v>
      </c>
      <c r="I134" s="4"/>
      <c r="J134" s="4"/>
      <c r="K134" s="4">
        <v>212</v>
      </c>
      <c r="L134" s="4">
        <v>27</v>
      </c>
      <c r="M134" s="4">
        <v>0</v>
      </c>
      <c r="N134" s="4" t="s">
        <v>3</v>
      </c>
      <c r="O134" s="4">
        <v>0</v>
      </c>
      <c r="P134" s="4"/>
      <c r="Q134" s="4"/>
      <c r="R134" s="4"/>
      <c r="S134" s="4"/>
      <c r="T134" s="4"/>
      <c r="U134" s="4"/>
      <c r="V134" s="4"/>
      <c r="W134" s="4"/>
    </row>
    <row r="136" spans="1:245">
      <c r="A136" s="1">
        <v>4</v>
      </c>
      <c r="B136" s="1">
        <v>1</v>
      </c>
      <c r="C136" s="1"/>
      <c r="D136" s="1">
        <f>ROW(A190)</f>
        <v>190</v>
      </c>
      <c r="E136" s="1"/>
      <c r="F136" s="1" t="s">
        <v>28</v>
      </c>
      <c r="G136" s="1" t="s">
        <v>295</v>
      </c>
      <c r="H136" s="1" t="s">
        <v>3</v>
      </c>
      <c r="I136" s="1">
        <v>0</v>
      </c>
      <c r="J136" s="1"/>
      <c r="K136" s="1">
        <v>-1</v>
      </c>
      <c r="L136" s="1"/>
      <c r="M136" s="1"/>
      <c r="N136" s="1"/>
      <c r="O136" s="1"/>
      <c r="P136" s="1"/>
      <c r="Q136" s="1"/>
      <c r="R136" s="1"/>
      <c r="S136" s="1"/>
      <c r="T136" s="1"/>
      <c r="U136" s="1" t="s">
        <v>3</v>
      </c>
      <c r="V136" s="1">
        <v>0</v>
      </c>
      <c r="W136" s="1"/>
      <c r="X136" s="1"/>
      <c r="Y136" s="1"/>
      <c r="Z136" s="1"/>
      <c r="AA136" s="1"/>
      <c r="AB136" s="1" t="s">
        <v>3</v>
      </c>
      <c r="AC136" s="1" t="s">
        <v>3</v>
      </c>
      <c r="AD136" s="1" t="s">
        <v>3</v>
      </c>
      <c r="AE136" s="1" t="s">
        <v>3</v>
      </c>
      <c r="AF136" s="1" t="s">
        <v>3</v>
      </c>
      <c r="AG136" s="1" t="s">
        <v>3</v>
      </c>
      <c r="AH136" s="1"/>
      <c r="AI136" s="1"/>
      <c r="AJ136" s="1"/>
      <c r="AK136" s="1"/>
      <c r="AL136" s="1"/>
      <c r="AM136" s="1"/>
      <c r="AN136" s="1"/>
      <c r="AO136" s="1"/>
      <c r="AP136" s="1" t="s">
        <v>3</v>
      </c>
      <c r="AQ136" s="1" t="s">
        <v>3</v>
      </c>
      <c r="AR136" s="1" t="s">
        <v>3</v>
      </c>
      <c r="AS136" s="1"/>
      <c r="AT136" s="1"/>
      <c r="AU136" s="1"/>
      <c r="AV136" s="1"/>
      <c r="AW136" s="1"/>
      <c r="AX136" s="1"/>
      <c r="AY136" s="1"/>
      <c r="AZ136" s="1" t="s">
        <v>3</v>
      </c>
      <c r="BA136" s="1"/>
      <c r="BB136" s="1" t="s">
        <v>3</v>
      </c>
      <c r="BC136" s="1" t="s">
        <v>3</v>
      </c>
      <c r="BD136" s="1" t="s">
        <v>3</v>
      </c>
      <c r="BE136" s="1" t="s">
        <v>3</v>
      </c>
      <c r="BF136" s="1" t="s">
        <v>3</v>
      </c>
      <c r="BG136" s="1" t="s">
        <v>3</v>
      </c>
      <c r="BH136" s="1" t="s">
        <v>3</v>
      </c>
      <c r="BI136" s="1" t="s">
        <v>3</v>
      </c>
      <c r="BJ136" s="1" t="s">
        <v>3</v>
      </c>
      <c r="BK136" s="1" t="s">
        <v>3</v>
      </c>
      <c r="BL136" s="1" t="s">
        <v>3</v>
      </c>
      <c r="BM136" s="1" t="s">
        <v>3</v>
      </c>
      <c r="BN136" s="1" t="s">
        <v>3</v>
      </c>
      <c r="BO136" s="1" t="s">
        <v>3</v>
      </c>
      <c r="BP136" s="1" t="s">
        <v>3</v>
      </c>
      <c r="BQ136" s="1"/>
      <c r="BR136" s="1"/>
      <c r="BS136" s="1"/>
      <c r="BT136" s="1"/>
      <c r="BU136" s="1"/>
      <c r="BV136" s="1"/>
      <c r="BW136" s="1"/>
      <c r="BX136" s="1">
        <v>0</v>
      </c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>
        <v>0</v>
      </c>
    </row>
    <row r="138" spans="1:245">
      <c r="A138" s="2">
        <v>52</v>
      </c>
      <c r="B138" s="2">
        <f t="shared" ref="B138:G138" si="112">B190</f>
        <v>1</v>
      </c>
      <c r="C138" s="2">
        <f t="shared" si="112"/>
        <v>4</v>
      </c>
      <c r="D138" s="2">
        <f t="shared" si="112"/>
        <v>136</v>
      </c>
      <c r="E138" s="2">
        <f t="shared" si="112"/>
        <v>0</v>
      </c>
      <c r="F138" s="2" t="str">
        <f t="shared" si="112"/>
        <v>3</v>
      </c>
      <c r="G138" s="2" t="str">
        <f t="shared" si="112"/>
        <v>Склад аптеки</v>
      </c>
      <c r="H138" s="2"/>
      <c r="I138" s="2"/>
      <c r="J138" s="2"/>
      <c r="K138" s="2"/>
      <c r="L138" s="2"/>
      <c r="M138" s="2"/>
      <c r="N138" s="2"/>
      <c r="O138" s="2">
        <f t="shared" ref="O138:AT138" si="113">O190</f>
        <v>155624</v>
      </c>
      <c r="P138" s="2">
        <f t="shared" si="113"/>
        <v>97118</v>
      </c>
      <c r="Q138" s="2">
        <f t="shared" si="113"/>
        <v>2190</v>
      </c>
      <c r="R138" s="2">
        <f t="shared" si="113"/>
        <v>1119</v>
      </c>
      <c r="S138" s="2">
        <f t="shared" si="113"/>
        <v>56316</v>
      </c>
      <c r="T138" s="2">
        <f t="shared" si="113"/>
        <v>0</v>
      </c>
      <c r="U138" s="2">
        <f t="shared" si="113"/>
        <v>326.88007849999985</v>
      </c>
      <c r="V138" s="2">
        <f t="shared" si="113"/>
        <v>5.1145597499999989</v>
      </c>
      <c r="W138" s="2">
        <f t="shared" si="113"/>
        <v>0</v>
      </c>
      <c r="X138" s="2">
        <f t="shared" si="113"/>
        <v>40372</v>
      </c>
      <c r="Y138" s="2">
        <f t="shared" si="113"/>
        <v>29179</v>
      </c>
      <c r="Z138" s="2">
        <f t="shared" si="113"/>
        <v>0</v>
      </c>
      <c r="AA138" s="2">
        <f t="shared" si="113"/>
        <v>0</v>
      </c>
      <c r="AB138" s="2">
        <f t="shared" si="113"/>
        <v>155624</v>
      </c>
      <c r="AC138" s="2">
        <f t="shared" si="113"/>
        <v>97118</v>
      </c>
      <c r="AD138" s="2">
        <f t="shared" si="113"/>
        <v>2190</v>
      </c>
      <c r="AE138" s="2">
        <f t="shared" si="113"/>
        <v>1119</v>
      </c>
      <c r="AF138" s="2">
        <f t="shared" si="113"/>
        <v>56316</v>
      </c>
      <c r="AG138" s="2">
        <f t="shared" si="113"/>
        <v>0</v>
      </c>
      <c r="AH138" s="2">
        <f t="shared" si="113"/>
        <v>326.88007849999985</v>
      </c>
      <c r="AI138" s="2">
        <f t="shared" si="113"/>
        <v>5.1145597499999989</v>
      </c>
      <c r="AJ138" s="2">
        <f t="shared" si="113"/>
        <v>0</v>
      </c>
      <c r="AK138" s="2">
        <f t="shared" si="113"/>
        <v>40372</v>
      </c>
      <c r="AL138" s="2">
        <f t="shared" si="113"/>
        <v>29179</v>
      </c>
      <c r="AM138" s="2">
        <f t="shared" si="113"/>
        <v>0</v>
      </c>
      <c r="AN138" s="2">
        <f t="shared" si="113"/>
        <v>0</v>
      </c>
      <c r="AO138" s="2">
        <f t="shared" si="113"/>
        <v>0</v>
      </c>
      <c r="AP138" s="2">
        <f t="shared" si="113"/>
        <v>0</v>
      </c>
      <c r="AQ138" s="2">
        <f t="shared" si="113"/>
        <v>0</v>
      </c>
      <c r="AR138" s="2">
        <f t="shared" si="113"/>
        <v>225175</v>
      </c>
      <c r="AS138" s="2">
        <f t="shared" si="113"/>
        <v>225175</v>
      </c>
      <c r="AT138" s="2">
        <f t="shared" si="113"/>
        <v>0</v>
      </c>
      <c r="AU138" s="2">
        <f t="shared" ref="AU138:BZ138" si="114">AU190</f>
        <v>0</v>
      </c>
      <c r="AV138" s="2">
        <f t="shared" si="114"/>
        <v>97118</v>
      </c>
      <c r="AW138" s="2">
        <f t="shared" si="114"/>
        <v>97118</v>
      </c>
      <c r="AX138" s="2">
        <f t="shared" si="114"/>
        <v>0</v>
      </c>
      <c r="AY138" s="2">
        <f t="shared" si="114"/>
        <v>97118</v>
      </c>
      <c r="AZ138" s="2">
        <f t="shared" si="114"/>
        <v>0</v>
      </c>
      <c r="BA138" s="2">
        <f t="shared" si="114"/>
        <v>0</v>
      </c>
      <c r="BB138" s="2">
        <f t="shared" si="114"/>
        <v>0</v>
      </c>
      <c r="BC138" s="2">
        <f t="shared" si="114"/>
        <v>0</v>
      </c>
      <c r="BD138" s="2">
        <f t="shared" si="114"/>
        <v>0</v>
      </c>
      <c r="BE138" s="2">
        <f t="shared" si="114"/>
        <v>0</v>
      </c>
      <c r="BF138" s="2">
        <f t="shared" si="114"/>
        <v>0</v>
      </c>
      <c r="BG138" s="2">
        <f t="shared" si="114"/>
        <v>0</v>
      </c>
      <c r="BH138" s="2">
        <f t="shared" si="114"/>
        <v>0</v>
      </c>
      <c r="BI138" s="2">
        <f t="shared" si="114"/>
        <v>0</v>
      </c>
      <c r="BJ138" s="2">
        <f t="shared" si="114"/>
        <v>0</v>
      </c>
      <c r="BK138" s="2">
        <f t="shared" si="114"/>
        <v>0</v>
      </c>
      <c r="BL138" s="2">
        <f t="shared" si="114"/>
        <v>0</v>
      </c>
      <c r="BM138" s="2">
        <f t="shared" si="114"/>
        <v>0</v>
      </c>
      <c r="BN138" s="2">
        <f t="shared" si="114"/>
        <v>0</v>
      </c>
      <c r="BO138" s="2">
        <f t="shared" si="114"/>
        <v>0</v>
      </c>
      <c r="BP138" s="2">
        <f t="shared" si="114"/>
        <v>0</v>
      </c>
      <c r="BQ138" s="2">
        <f t="shared" si="114"/>
        <v>0</v>
      </c>
      <c r="BR138" s="2">
        <f t="shared" si="114"/>
        <v>0</v>
      </c>
      <c r="BS138" s="2">
        <f t="shared" si="114"/>
        <v>0</v>
      </c>
      <c r="BT138" s="2">
        <f t="shared" si="114"/>
        <v>0</v>
      </c>
      <c r="BU138" s="2">
        <f t="shared" si="114"/>
        <v>0</v>
      </c>
      <c r="BV138" s="2">
        <f t="shared" si="114"/>
        <v>0</v>
      </c>
      <c r="BW138" s="2">
        <f t="shared" si="114"/>
        <v>0</v>
      </c>
      <c r="BX138" s="2">
        <f t="shared" si="114"/>
        <v>0</v>
      </c>
      <c r="BY138" s="2">
        <f t="shared" si="114"/>
        <v>0</v>
      </c>
      <c r="BZ138" s="2">
        <f t="shared" si="114"/>
        <v>0</v>
      </c>
      <c r="CA138" s="2">
        <f t="shared" ref="CA138:DF138" si="115">CA190</f>
        <v>225175</v>
      </c>
      <c r="CB138" s="2">
        <f t="shared" si="115"/>
        <v>225175</v>
      </c>
      <c r="CC138" s="2">
        <f t="shared" si="115"/>
        <v>0</v>
      </c>
      <c r="CD138" s="2">
        <f t="shared" si="115"/>
        <v>0</v>
      </c>
      <c r="CE138" s="2">
        <f t="shared" si="115"/>
        <v>97118</v>
      </c>
      <c r="CF138" s="2">
        <f t="shared" si="115"/>
        <v>97118</v>
      </c>
      <c r="CG138" s="2">
        <f t="shared" si="115"/>
        <v>0</v>
      </c>
      <c r="CH138" s="2">
        <f t="shared" si="115"/>
        <v>97118</v>
      </c>
      <c r="CI138" s="2">
        <f t="shared" si="115"/>
        <v>0</v>
      </c>
      <c r="CJ138" s="2">
        <f t="shared" si="115"/>
        <v>0</v>
      </c>
      <c r="CK138" s="2">
        <f t="shared" si="115"/>
        <v>0</v>
      </c>
      <c r="CL138" s="2">
        <f t="shared" si="115"/>
        <v>0</v>
      </c>
      <c r="CM138" s="2">
        <f t="shared" si="115"/>
        <v>0</v>
      </c>
      <c r="CN138" s="2">
        <f t="shared" si="115"/>
        <v>0</v>
      </c>
      <c r="CO138" s="2">
        <f t="shared" si="115"/>
        <v>0</v>
      </c>
      <c r="CP138" s="2">
        <f t="shared" si="115"/>
        <v>0</v>
      </c>
      <c r="CQ138" s="2">
        <f t="shared" si="115"/>
        <v>0</v>
      </c>
      <c r="CR138" s="2">
        <f t="shared" si="115"/>
        <v>0</v>
      </c>
      <c r="CS138" s="2">
        <f t="shared" si="115"/>
        <v>0</v>
      </c>
      <c r="CT138" s="2">
        <f t="shared" si="115"/>
        <v>0</v>
      </c>
      <c r="CU138" s="2">
        <f t="shared" si="115"/>
        <v>0</v>
      </c>
      <c r="CV138" s="2">
        <f t="shared" si="115"/>
        <v>0</v>
      </c>
      <c r="CW138" s="2">
        <f t="shared" si="115"/>
        <v>0</v>
      </c>
      <c r="CX138" s="2">
        <f t="shared" si="115"/>
        <v>0</v>
      </c>
      <c r="CY138" s="2">
        <f t="shared" si="115"/>
        <v>0</v>
      </c>
      <c r="CZ138" s="2">
        <f t="shared" si="115"/>
        <v>0</v>
      </c>
      <c r="DA138" s="2">
        <f t="shared" si="115"/>
        <v>0</v>
      </c>
      <c r="DB138" s="2">
        <f t="shared" si="115"/>
        <v>0</v>
      </c>
      <c r="DC138" s="2">
        <f t="shared" si="115"/>
        <v>0</v>
      </c>
      <c r="DD138" s="2">
        <f t="shared" si="115"/>
        <v>0</v>
      </c>
      <c r="DE138" s="2">
        <f t="shared" si="115"/>
        <v>0</v>
      </c>
      <c r="DF138" s="2">
        <f t="shared" si="115"/>
        <v>0</v>
      </c>
      <c r="DG138" s="3">
        <f t="shared" ref="DG138:EL138" si="116">DG190</f>
        <v>0</v>
      </c>
      <c r="DH138" s="3">
        <f t="shared" si="116"/>
        <v>0</v>
      </c>
      <c r="DI138" s="3">
        <f t="shared" si="116"/>
        <v>0</v>
      </c>
      <c r="DJ138" s="3">
        <f t="shared" si="116"/>
        <v>0</v>
      </c>
      <c r="DK138" s="3">
        <f t="shared" si="116"/>
        <v>0</v>
      </c>
      <c r="DL138" s="3">
        <f t="shared" si="116"/>
        <v>0</v>
      </c>
      <c r="DM138" s="3">
        <f t="shared" si="116"/>
        <v>0</v>
      </c>
      <c r="DN138" s="3">
        <f t="shared" si="116"/>
        <v>0</v>
      </c>
      <c r="DO138" s="3">
        <f t="shared" si="116"/>
        <v>0</v>
      </c>
      <c r="DP138" s="3">
        <f t="shared" si="116"/>
        <v>0</v>
      </c>
      <c r="DQ138" s="3">
        <f t="shared" si="116"/>
        <v>0</v>
      </c>
      <c r="DR138" s="3">
        <f t="shared" si="116"/>
        <v>0</v>
      </c>
      <c r="DS138" s="3">
        <f t="shared" si="116"/>
        <v>0</v>
      </c>
      <c r="DT138" s="3">
        <f t="shared" si="116"/>
        <v>0</v>
      </c>
      <c r="DU138" s="3">
        <f t="shared" si="116"/>
        <v>0</v>
      </c>
      <c r="DV138" s="3">
        <f t="shared" si="116"/>
        <v>0</v>
      </c>
      <c r="DW138" s="3">
        <f t="shared" si="116"/>
        <v>0</v>
      </c>
      <c r="DX138" s="3">
        <f t="shared" si="116"/>
        <v>0</v>
      </c>
      <c r="DY138" s="3">
        <f t="shared" si="116"/>
        <v>0</v>
      </c>
      <c r="DZ138" s="3">
        <f t="shared" si="116"/>
        <v>0</v>
      </c>
      <c r="EA138" s="3">
        <f t="shared" si="116"/>
        <v>0</v>
      </c>
      <c r="EB138" s="3">
        <f t="shared" si="116"/>
        <v>0</v>
      </c>
      <c r="EC138" s="3">
        <f t="shared" si="116"/>
        <v>0</v>
      </c>
      <c r="ED138" s="3">
        <f t="shared" si="116"/>
        <v>0</v>
      </c>
      <c r="EE138" s="3">
        <f t="shared" si="116"/>
        <v>0</v>
      </c>
      <c r="EF138" s="3">
        <f t="shared" si="116"/>
        <v>0</v>
      </c>
      <c r="EG138" s="3">
        <f t="shared" si="116"/>
        <v>0</v>
      </c>
      <c r="EH138" s="3">
        <f t="shared" si="116"/>
        <v>0</v>
      </c>
      <c r="EI138" s="3">
        <f t="shared" si="116"/>
        <v>0</v>
      </c>
      <c r="EJ138" s="3">
        <f t="shared" si="116"/>
        <v>0</v>
      </c>
      <c r="EK138" s="3">
        <f t="shared" si="116"/>
        <v>0</v>
      </c>
      <c r="EL138" s="3">
        <f t="shared" si="116"/>
        <v>0</v>
      </c>
      <c r="EM138" s="3">
        <f t="shared" ref="EM138:FR138" si="117">EM190</f>
        <v>0</v>
      </c>
      <c r="EN138" s="3">
        <f t="shared" si="117"/>
        <v>0</v>
      </c>
      <c r="EO138" s="3">
        <f t="shared" si="117"/>
        <v>0</v>
      </c>
      <c r="EP138" s="3">
        <f t="shared" si="117"/>
        <v>0</v>
      </c>
      <c r="EQ138" s="3">
        <f t="shared" si="117"/>
        <v>0</v>
      </c>
      <c r="ER138" s="3">
        <f t="shared" si="117"/>
        <v>0</v>
      </c>
      <c r="ES138" s="3">
        <f t="shared" si="117"/>
        <v>0</v>
      </c>
      <c r="ET138" s="3">
        <f t="shared" si="117"/>
        <v>0</v>
      </c>
      <c r="EU138" s="3">
        <f t="shared" si="117"/>
        <v>0</v>
      </c>
      <c r="EV138" s="3">
        <f t="shared" si="117"/>
        <v>0</v>
      </c>
      <c r="EW138" s="3">
        <f t="shared" si="117"/>
        <v>0</v>
      </c>
      <c r="EX138" s="3">
        <f t="shared" si="117"/>
        <v>0</v>
      </c>
      <c r="EY138" s="3">
        <f t="shared" si="117"/>
        <v>0</v>
      </c>
      <c r="EZ138" s="3">
        <f t="shared" si="117"/>
        <v>0</v>
      </c>
      <c r="FA138" s="3">
        <f t="shared" si="117"/>
        <v>0</v>
      </c>
      <c r="FB138" s="3">
        <f t="shared" si="117"/>
        <v>0</v>
      </c>
      <c r="FC138" s="3">
        <f t="shared" si="117"/>
        <v>0</v>
      </c>
      <c r="FD138" s="3">
        <f t="shared" si="117"/>
        <v>0</v>
      </c>
      <c r="FE138" s="3">
        <f t="shared" si="117"/>
        <v>0</v>
      </c>
      <c r="FF138" s="3">
        <f t="shared" si="117"/>
        <v>0</v>
      </c>
      <c r="FG138" s="3">
        <f t="shared" si="117"/>
        <v>0</v>
      </c>
      <c r="FH138" s="3">
        <f t="shared" si="117"/>
        <v>0</v>
      </c>
      <c r="FI138" s="3">
        <f t="shared" si="117"/>
        <v>0</v>
      </c>
      <c r="FJ138" s="3">
        <f t="shared" si="117"/>
        <v>0</v>
      </c>
      <c r="FK138" s="3">
        <f t="shared" si="117"/>
        <v>0</v>
      </c>
      <c r="FL138" s="3">
        <f t="shared" si="117"/>
        <v>0</v>
      </c>
      <c r="FM138" s="3">
        <f t="shared" si="117"/>
        <v>0</v>
      </c>
      <c r="FN138" s="3">
        <f t="shared" si="117"/>
        <v>0</v>
      </c>
      <c r="FO138" s="3">
        <f t="shared" si="117"/>
        <v>0</v>
      </c>
      <c r="FP138" s="3">
        <f t="shared" si="117"/>
        <v>0</v>
      </c>
      <c r="FQ138" s="3">
        <f t="shared" si="117"/>
        <v>0</v>
      </c>
      <c r="FR138" s="3">
        <f t="shared" si="117"/>
        <v>0</v>
      </c>
      <c r="FS138" s="3">
        <f t="shared" ref="FS138:GX138" si="118">FS190</f>
        <v>0</v>
      </c>
      <c r="FT138" s="3">
        <f t="shared" si="118"/>
        <v>0</v>
      </c>
      <c r="FU138" s="3">
        <f t="shared" si="118"/>
        <v>0</v>
      </c>
      <c r="FV138" s="3">
        <f t="shared" si="118"/>
        <v>0</v>
      </c>
      <c r="FW138" s="3">
        <f t="shared" si="118"/>
        <v>0</v>
      </c>
      <c r="FX138" s="3">
        <f t="shared" si="118"/>
        <v>0</v>
      </c>
      <c r="FY138" s="3">
        <f t="shared" si="118"/>
        <v>0</v>
      </c>
      <c r="FZ138" s="3">
        <f t="shared" si="118"/>
        <v>0</v>
      </c>
      <c r="GA138" s="3">
        <f t="shared" si="118"/>
        <v>0</v>
      </c>
      <c r="GB138" s="3">
        <f t="shared" si="118"/>
        <v>0</v>
      </c>
      <c r="GC138" s="3">
        <f t="shared" si="118"/>
        <v>0</v>
      </c>
      <c r="GD138" s="3">
        <f t="shared" si="118"/>
        <v>0</v>
      </c>
      <c r="GE138" s="3">
        <f t="shared" si="118"/>
        <v>0</v>
      </c>
      <c r="GF138" s="3">
        <f t="shared" si="118"/>
        <v>0</v>
      </c>
      <c r="GG138" s="3">
        <f t="shared" si="118"/>
        <v>0</v>
      </c>
      <c r="GH138" s="3">
        <f t="shared" si="118"/>
        <v>0</v>
      </c>
      <c r="GI138" s="3">
        <f t="shared" si="118"/>
        <v>0</v>
      </c>
      <c r="GJ138" s="3">
        <f t="shared" si="118"/>
        <v>0</v>
      </c>
      <c r="GK138" s="3">
        <f t="shared" si="118"/>
        <v>0</v>
      </c>
      <c r="GL138" s="3">
        <f t="shared" si="118"/>
        <v>0</v>
      </c>
      <c r="GM138" s="3">
        <f t="shared" si="118"/>
        <v>0</v>
      </c>
      <c r="GN138" s="3">
        <f t="shared" si="118"/>
        <v>0</v>
      </c>
      <c r="GO138" s="3">
        <f t="shared" si="118"/>
        <v>0</v>
      </c>
      <c r="GP138" s="3">
        <f t="shared" si="118"/>
        <v>0</v>
      </c>
      <c r="GQ138" s="3">
        <f t="shared" si="118"/>
        <v>0</v>
      </c>
      <c r="GR138" s="3">
        <f t="shared" si="118"/>
        <v>0</v>
      </c>
      <c r="GS138" s="3">
        <f t="shared" si="118"/>
        <v>0</v>
      </c>
      <c r="GT138" s="3">
        <f t="shared" si="118"/>
        <v>0</v>
      </c>
      <c r="GU138" s="3">
        <f t="shared" si="118"/>
        <v>0</v>
      </c>
      <c r="GV138" s="3">
        <f t="shared" si="118"/>
        <v>0</v>
      </c>
      <c r="GW138" s="3">
        <f t="shared" si="118"/>
        <v>0</v>
      </c>
      <c r="GX138" s="3">
        <f t="shared" si="118"/>
        <v>0</v>
      </c>
    </row>
    <row r="140" spans="1:245">
      <c r="A140">
        <v>19</v>
      </c>
      <c r="B140">
        <v>1</v>
      </c>
      <c r="F140" t="s">
        <v>3</v>
      </c>
      <c r="G140" t="s">
        <v>14</v>
      </c>
      <c r="H140" t="s">
        <v>3</v>
      </c>
      <c r="AA140">
        <v>1</v>
      </c>
      <c r="IK140">
        <v>0</v>
      </c>
    </row>
    <row r="141" spans="1:245">
      <c r="A141">
        <v>17</v>
      </c>
      <c r="B141">
        <v>1</v>
      </c>
      <c r="C141">
        <f>ROW(SmtRes!A241)</f>
        <v>241</v>
      </c>
      <c r="D141">
        <f>ROW(EtalonRes!A242)</f>
        <v>242</v>
      </c>
      <c r="E141" t="s">
        <v>296</v>
      </c>
      <c r="F141" t="s">
        <v>297</v>
      </c>
      <c r="G141" t="s">
        <v>298</v>
      </c>
      <c r="H141" t="s">
        <v>48</v>
      </c>
      <c r="I141">
        <f>ROUND(35.88/100,9)</f>
        <v>0.35880000000000001</v>
      </c>
      <c r="J141">
        <v>0</v>
      </c>
      <c r="O141">
        <f t="shared" ref="O141:O147" si="119">ROUND(CP141,0)</f>
        <v>637</v>
      </c>
      <c r="P141">
        <f t="shared" ref="P141:P147" si="120">ROUND(CQ141*I141,0)</f>
        <v>0</v>
      </c>
      <c r="Q141">
        <f t="shared" ref="Q141:Q147" si="121">ROUND(CR141*I141,0)</f>
        <v>15</v>
      </c>
      <c r="R141">
        <f t="shared" ref="R141:R147" si="122">ROUND(CS141*I141,0)</f>
        <v>12</v>
      </c>
      <c r="S141">
        <f t="shared" ref="S141:S147" si="123">ROUND(CT141*I141,0)</f>
        <v>622</v>
      </c>
      <c r="T141">
        <f t="shared" ref="T141:T147" si="124">ROUND(CU141*I141,0)</f>
        <v>0</v>
      </c>
      <c r="U141">
        <f t="shared" ref="U141:U147" si="125">CV141*I141</f>
        <v>4.0867320000000005</v>
      </c>
      <c r="V141">
        <f t="shared" ref="V141:V147" si="126">CW141*I141</f>
        <v>4.6644000000000005E-2</v>
      </c>
      <c r="W141">
        <f t="shared" ref="W141:W147" si="127">ROUND(CX141*I141,0)</f>
        <v>0</v>
      </c>
      <c r="X141">
        <f t="shared" ref="X141:Y147" si="128">ROUND(CY141,0)</f>
        <v>355</v>
      </c>
      <c r="Y141">
        <f t="shared" si="128"/>
        <v>387</v>
      </c>
      <c r="AA141">
        <v>48370320</v>
      </c>
      <c r="AB141">
        <f t="shared" ref="AB141:AB147" si="129">ROUND((AC141+AD141+AF141),2)</f>
        <v>87.2</v>
      </c>
      <c r="AC141">
        <f t="shared" ref="AC141:AC147" si="130">ROUND((ES141),2)</f>
        <v>0</v>
      </c>
      <c r="AD141">
        <f t="shared" ref="AD141:AD147" si="131">ROUND((((ET141)-(EU141))+AE141),2)</f>
        <v>4.17</v>
      </c>
      <c r="AE141">
        <f t="shared" ref="AE141:AF147" si="132">ROUND((EU141),2)</f>
        <v>1.57</v>
      </c>
      <c r="AF141">
        <f t="shared" si="132"/>
        <v>83.03</v>
      </c>
      <c r="AG141">
        <f t="shared" ref="AG141:AG147" si="133">ROUND((AP141),2)</f>
        <v>0</v>
      </c>
      <c r="AH141">
        <f t="shared" ref="AH141:AI147" si="134">(EW141)</f>
        <v>11.39</v>
      </c>
      <c r="AI141">
        <f t="shared" si="134"/>
        <v>0.13</v>
      </c>
      <c r="AJ141">
        <f t="shared" ref="AJ141:AJ147" si="135">ROUND((AS141),2)</f>
        <v>0</v>
      </c>
      <c r="AK141">
        <v>87.2</v>
      </c>
      <c r="AL141">
        <v>0</v>
      </c>
      <c r="AM141">
        <v>4.17</v>
      </c>
      <c r="AN141">
        <v>1.57</v>
      </c>
      <c r="AO141">
        <v>83.03</v>
      </c>
      <c r="AP141">
        <v>0</v>
      </c>
      <c r="AQ141">
        <v>11.39</v>
      </c>
      <c r="AR141">
        <v>0.13</v>
      </c>
      <c r="AS141">
        <v>0</v>
      </c>
      <c r="AT141">
        <v>56</v>
      </c>
      <c r="AU141">
        <v>61</v>
      </c>
      <c r="AV141">
        <v>1</v>
      </c>
      <c r="AW141">
        <v>1</v>
      </c>
      <c r="AZ141">
        <v>1</v>
      </c>
      <c r="BA141">
        <v>20.88</v>
      </c>
      <c r="BB141">
        <v>10.220000000000001</v>
      </c>
      <c r="BC141">
        <v>1</v>
      </c>
      <c r="BD141" t="s">
        <v>3</v>
      </c>
      <c r="BE141" t="s">
        <v>3</v>
      </c>
      <c r="BF141" t="s">
        <v>3</v>
      </c>
      <c r="BG141" t="s">
        <v>3</v>
      </c>
      <c r="BH141">
        <v>0</v>
      </c>
      <c r="BI141">
        <v>1</v>
      </c>
      <c r="BJ141" t="s">
        <v>299</v>
      </c>
      <c r="BM141">
        <v>57001</v>
      </c>
      <c r="BN141">
        <v>0</v>
      </c>
      <c r="BO141" t="s">
        <v>297</v>
      </c>
      <c r="BP141">
        <v>1</v>
      </c>
      <c r="BQ141">
        <v>6</v>
      </c>
      <c r="BR141">
        <v>0</v>
      </c>
      <c r="BS141">
        <v>20.88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3</v>
      </c>
      <c r="BZ141">
        <v>80</v>
      </c>
      <c r="CA141">
        <v>68</v>
      </c>
      <c r="CF141">
        <v>0</v>
      </c>
      <c r="CG141">
        <v>0</v>
      </c>
      <c r="CM141">
        <v>0</v>
      </c>
      <c r="CN141" t="s">
        <v>3</v>
      </c>
      <c r="CO141">
        <v>0</v>
      </c>
      <c r="CP141">
        <f t="shared" ref="CP141:CP147" si="136">(P141+Q141+S141)</f>
        <v>637</v>
      </c>
      <c r="CQ141">
        <f t="shared" ref="CQ141:CQ147" si="137">AC141*BC141</f>
        <v>0</v>
      </c>
      <c r="CR141">
        <f t="shared" ref="CR141:CR147" si="138">AD141*BB141</f>
        <v>42.617400000000004</v>
      </c>
      <c r="CS141">
        <f t="shared" ref="CS141:CS147" si="139">AE141*BS141</f>
        <v>32.781599999999997</v>
      </c>
      <c r="CT141">
        <f t="shared" ref="CT141:CT147" si="140">AF141*BA141</f>
        <v>1733.6663999999998</v>
      </c>
      <c r="CU141">
        <f t="shared" ref="CU141:CX147" si="141">AG141</f>
        <v>0</v>
      </c>
      <c r="CV141">
        <f t="shared" si="141"/>
        <v>11.39</v>
      </c>
      <c r="CW141">
        <f t="shared" si="141"/>
        <v>0.13</v>
      </c>
      <c r="CX141">
        <f t="shared" si="141"/>
        <v>0</v>
      </c>
      <c r="CY141">
        <f t="shared" ref="CY141:CY147" si="142">(((S141+R141)*AT141)/100)</f>
        <v>355.04</v>
      </c>
      <c r="CZ141">
        <f t="shared" ref="CZ141:CZ147" si="143">(((S141+R141)*AU141)/100)</f>
        <v>386.74</v>
      </c>
      <c r="DC141" t="s">
        <v>3</v>
      </c>
      <c r="DD141" t="s">
        <v>3</v>
      </c>
      <c r="DE141" t="s">
        <v>3</v>
      </c>
      <c r="DF141" t="s">
        <v>3</v>
      </c>
      <c r="DG141" t="s">
        <v>3</v>
      </c>
      <c r="DH141" t="s">
        <v>3</v>
      </c>
      <c r="DI141" t="s">
        <v>3</v>
      </c>
      <c r="DJ141" t="s">
        <v>3</v>
      </c>
      <c r="DK141" t="s">
        <v>3</v>
      </c>
      <c r="DL141" t="s">
        <v>3</v>
      </c>
      <c r="DM141" t="s">
        <v>3</v>
      </c>
      <c r="DN141">
        <v>0</v>
      </c>
      <c r="DO141">
        <v>0</v>
      </c>
      <c r="DP141">
        <v>1</v>
      </c>
      <c r="DQ141">
        <v>1</v>
      </c>
      <c r="DU141">
        <v>1013</v>
      </c>
      <c r="DV141" t="s">
        <v>48</v>
      </c>
      <c r="DW141" t="s">
        <v>48</v>
      </c>
      <c r="DX141">
        <v>1</v>
      </c>
      <c r="EE141">
        <v>45269255</v>
      </c>
      <c r="EF141">
        <v>6</v>
      </c>
      <c r="EG141" t="s">
        <v>33</v>
      </c>
      <c r="EH141">
        <v>0</v>
      </c>
      <c r="EI141" t="s">
        <v>3</v>
      </c>
      <c r="EJ141">
        <v>1</v>
      </c>
      <c r="EK141">
        <v>57001</v>
      </c>
      <c r="EL141" t="s">
        <v>50</v>
      </c>
      <c r="EM141" t="s">
        <v>51</v>
      </c>
      <c r="EO141" t="s">
        <v>3</v>
      </c>
      <c r="EQ141">
        <v>0</v>
      </c>
      <c r="ER141">
        <v>87.2</v>
      </c>
      <c r="ES141">
        <v>0</v>
      </c>
      <c r="ET141">
        <v>4.17</v>
      </c>
      <c r="EU141">
        <v>1.57</v>
      </c>
      <c r="EV141">
        <v>83.03</v>
      </c>
      <c r="EW141">
        <v>11.39</v>
      </c>
      <c r="EX141">
        <v>0.13</v>
      </c>
      <c r="EY141">
        <v>0</v>
      </c>
      <c r="FQ141">
        <v>0</v>
      </c>
      <c r="FR141">
        <f t="shared" ref="FR141:FR147" si="144">ROUND(IF(AND(BH141=3,BI141=3),P141,0),0)</f>
        <v>0</v>
      </c>
      <c r="FS141">
        <v>0</v>
      </c>
      <c r="FT141" t="s">
        <v>36</v>
      </c>
      <c r="FU141" t="s">
        <v>37</v>
      </c>
      <c r="FX141">
        <v>56</v>
      </c>
      <c r="FY141">
        <v>61.2</v>
      </c>
      <c r="GA141" t="s">
        <v>3</v>
      </c>
      <c r="GD141">
        <v>0</v>
      </c>
      <c r="GF141">
        <v>-621782056</v>
      </c>
      <c r="GG141">
        <v>2</v>
      </c>
      <c r="GH141">
        <v>1</v>
      </c>
      <c r="GI141">
        <v>2</v>
      </c>
      <c r="GJ141">
        <v>0</v>
      </c>
      <c r="GK141">
        <f>ROUND(R141*(R12)/100,0)</f>
        <v>0</v>
      </c>
      <c r="GL141">
        <f t="shared" ref="GL141:GL147" si="145">ROUND(IF(AND(BH141=3,BI141=3,FS141&lt;&gt;0),P141,0),0)</f>
        <v>0</v>
      </c>
      <c r="GM141">
        <f t="shared" ref="GM141:GM147" si="146">ROUND(O141+X141+Y141+GK141,0)+GX141</f>
        <v>1379</v>
      </c>
      <c r="GN141">
        <f t="shared" ref="GN141:GN147" si="147">IF(OR(BI141=0,BI141=1),ROUND(O141+X141+Y141+GK141,0),0)</f>
        <v>1379</v>
      </c>
      <c r="GO141">
        <f t="shared" ref="GO141:GO147" si="148">IF(BI141=2,ROUND(O141+X141+Y141+GK141,0),0)</f>
        <v>0</v>
      </c>
      <c r="GP141">
        <f t="shared" ref="GP141:GP147" si="149">IF(BI141=4,ROUND(O141+X141+Y141+GK141,0)+GX141,0)</f>
        <v>0</v>
      </c>
      <c r="GR141">
        <v>0</v>
      </c>
      <c r="GS141">
        <v>3</v>
      </c>
      <c r="GT141">
        <v>0</v>
      </c>
      <c r="GU141" t="s">
        <v>3</v>
      </c>
      <c r="GV141">
        <f t="shared" ref="GV141:GV147" si="150">ROUND(GT141,2)</f>
        <v>0</v>
      </c>
      <c r="GW141">
        <v>1</v>
      </c>
      <c r="GX141">
        <f t="shared" ref="GX141:GX147" si="151">ROUND(GV141*GW141*I141,0)</f>
        <v>0</v>
      </c>
      <c r="HA141">
        <v>0</v>
      </c>
      <c r="HB141">
        <v>0</v>
      </c>
      <c r="IK141">
        <v>0</v>
      </c>
    </row>
    <row r="142" spans="1:245">
      <c r="A142">
        <v>17</v>
      </c>
      <c r="B142">
        <v>1</v>
      </c>
      <c r="C142">
        <f>ROW(SmtRes!A243)</f>
        <v>243</v>
      </c>
      <c r="D142">
        <f>ROW(EtalonRes!A244)</f>
        <v>244</v>
      </c>
      <c r="E142" t="s">
        <v>300</v>
      </c>
      <c r="F142" t="s">
        <v>301</v>
      </c>
      <c r="G142" t="s">
        <v>302</v>
      </c>
      <c r="H142" t="s">
        <v>303</v>
      </c>
      <c r="I142">
        <f>ROUND(32/100,9)</f>
        <v>0.32</v>
      </c>
      <c r="J142">
        <v>0</v>
      </c>
      <c r="O142">
        <f t="shared" si="119"/>
        <v>184</v>
      </c>
      <c r="P142">
        <f t="shared" si="120"/>
        <v>0</v>
      </c>
      <c r="Q142">
        <f t="shared" si="121"/>
        <v>0</v>
      </c>
      <c r="R142">
        <f t="shared" si="122"/>
        <v>0</v>
      </c>
      <c r="S142">
        <f t="shared" si="123"/>
        <v>184</v>
      </c>
      <c r="T142">
        <f t="shared" si="124"/>
        <v>0</v>
      </c>
      <c r="U142">
        <f t="shared" si="125"/>
        <v>1.2064000000000001</v>
      </c>
      <c r="V142">
        <f t="shared" si="126"/>
        <v>0</v>
      </c>
      <c r="W142">
        <f t="shared" si="127"/>
        <v>0</v>
      </c>
      <c r="X142">
        <f t="shared" si="128"/>
        <v>103</v>
      </c>
      <c r="Y142">
        <f t="shared" si="128"/>
        <v>112</v>
      </c>
      <c r="AA142">
        <v>48370320</v>
      </c>
      <c r="AB142">
        <f t="shared" si="129"/>
        <v>27.48</v>
      </c>
      <c r="AC142">
        <f t="shared" si="130"/>
        <v>0</v>
      </c>
      <c r="AD142">
        <f t="shared" si="131"/>
        <v>0</v>
      </c>
      <c r="AE142">
        <f t="shared" si="132"/>
        <v>0</v>
      </c>
      <c r="AF142">
        <f t="shared" si="132"/>
        <v>27.48</v>
      </c>
      <c r="AG142">
        <f t="shared" si="133"/>
        <v>0</v>
      </c>
      <c r="AH142">
        <f t="shared" si="134"/>
        <v>3.77</v>
      </c>
      <c r="AI142">
        <f t="shared" si="134"/>
        <v>0</v>
      </c>
      <c r="AJ142">
        <f t="shared" si="135"/>
        <v>0</v>
      </c>
      <c r="AK142">
        <v>27.48</v>
      </c>
      <c r="AL142">
        <v>0</v>
      </c>
      <c r="AM142">
        <v>0</v>
      </c>
      <c r="AN142">
        <v>0</v>
      </c>
      <c r="AO142">
        <v>27.48</v>
      </c>
      <c r="AP142">
        <v>0</v>
      </c>
      <c r="AQ142">
        <v>3.77</v>
      </c>
      <c r="AR142">
        <v>0</v>
      </c>
      <c r="AS142">
        <v>0</v>
      </c>
      <c r="AT142">
        <v>56</v>
      </c>
      <c r="AU142">
        <v>61</v>
      </c>
      <c r="AV142">
        <v>1</v>
      </c>
      <c r="AW142">
        <v>1</v>
      </c>
      <c r="AZ142">
        <v>1</v>
      </c>
      <c r="BA142">
        <v>20.88</v>
      </c>
      <c r="BB142">
        <v>1</v>
      </c>
      <c r="BC142">
        <v>1</v>
      </c>
      <c r="BD142" t="s">
        <v>3</v>
      </c>
      <c r="BE142" t="s">
        <v>3</v>
      </c>
      <c r="BF142" t="s">
        <v>3</v>
      </c>
      <c r="BG142" t="s">
        <v>3</v>
      </c>
      <c r="BH142">
        <v>0</v>
      </c>
      <c r="BI142">
        <v>1</v>
      </c>
      <c r="BJ142" t="s">
        <v>304</v>
      </c>
      <c r="BM142">
        <v>57001</v>
      </c>
      <c r="BN142">
        <v>0</v>
      </c>
      <c r="BO142" t="s">
        <v>301</v>
      </c>
      <c r="BP142">
        <v>1</v>
      </c>
      <c r="BQ142">
        <v>6</v>
      </c>
      <c r="BR142">
        <v>0</v>
      </c>
      <c r="BS142">
        <v>20.88</v>
      </c>
      <c r="BT142">
        <v>1</v>
      </c>
      <c r="BU142">
        <v>1</v>
      </c>
      <c r="BV142">
        <v>1</v>
      </c>
      <c r="BW142">
        <v>1</v>
      </c>
      <c r="BX142">
        <v>1</v>
      </c>
      <c r="BY142" t="s">
        <v>3</v>
      </c>
      <c r="BZ142">
        <v>80</v>
      </c>
      <c r="CA142">
        <v>68</v>
      </c>
      <c r="CF142">
        <v>0</v>
      </c>
      <c r="CG142">
        <v>0</v>
      </c>
      <c r="CM142">
        <v>0</v>
      </c>
      <c r="CN142" t="s">
        <v>3</v>
      </c>
      <c r="CO142">
        <v>0</v>
      </c>
      <c r="CP142">
        <f t="shared" si="136"/>
        <v>184</v>
      </c>
      <c r="CQ142">
        <f t="shared" si="137"/>
        <v>0</v>
      </c>
      <c r="CR142">
        <f t="shared" si="138"/>
        <v>0</v>
      </c>
      <c r="CS142">
        <f t="shared" si="139"/>
        <v>0</v>
      </c>
      <c r="CT142">
        <f t="shared" si="140"/>
        <v>573.78239999999994</v>
      </c>
      <c r="CU142">
        <f t="shared" si="141"/>
        <v>0</v>
      </c>
      <c r="CV142">
        <f t="shared" si="141"/>
        <v>3.77</v>
      </c>
      <c r="CW142">
        <f t="shared" si="141"/>
        <v>0</v>
      </c>
      <c r="CX142">
        <f t="shared" si="141"/>
        <v>0</v>
      </c>
      <c r="CY142">
        <f t="shared" si="142"/>
        <v>103.04</v>
      </c>
      <c r="CZ142">
        <f t="shared" si="143"/>
        <v>112.24</v>
      </c>
      <c r="DC142" t="s">
        <v>3</v>
      </c>
      <c r="DD142" t="s">
        <v>3</v>
      </c>
      <c r="DE142" t="s">
        <v>3</v>
      </c>
      <c r="DF142" t="s">
        <v>3</v>
      </c>
      <c r="DG142" t="s">
        <v>3</v>
      </c>
      <c r="DH142" t="s">
        <v>3</v>
      </c>
      <c r="DI142" t="s">
        <v>3</v>
      </c>
      <c r="DJ142" t="s">
        <v>3</v>
      </c>
      <c r="DK142" t="s">
        <v>3</v>
      </c>
      <c r="DL142" t="s">
        <v>3</v>
      </c>
      <c r="DM142" t="s">
        <v>3</v>
      </c>
      <c r="DN142">
        <v>0</v>
      </c>
      <c r="DO142">
        <v>0</v>
      </c>
      <c r="DP142">
        <v>1</v>
      </c>
      <c r="DQ142">
        <v>1</v>
      </c>
      <c r="DU142">
        <v>1013</v>
      </c>
      <c r="DV142" t="s">
        <v>303</v>
      </c>
      <c r="DW142" t="s">
        <v>303</v>
      </c>
      <c r="DX142">
        <v>1</v>
      </c>
      <c r="EE142">
        <v>45269255</v>
      </c>
      <c r="EF142">
        <v>6</v>
      </c>
      <c r="EG142" t="s">
        <v>33</v>
      </c>
      <c r="EH142">
        <v>0</v>
      </c>
      <c r="EI142" t="s">
        <v>3</v>
      </c>
      <c r="EJ142">
        <v>1</v>
      </c>
      <c r="EK142">
        <v>57001</v>
      </c>
      <c r="EL142" t="s">
        <v>50</v>
      </c>
      <c r="EM142" t="s">
        <v>51</v>
      </c>
      <c r="EO142" t="s">
        <v>3</v>
      </c>
      <c r="EQ142">
        <v>0</v>
      </c>
      <c r="ER142">
        <v>27.48</v>
      </c>
      <c r="ES142">
        <v>0</v>
      </c>
      <c r="ET142">
        <v>0</v>
      </c>
      <c r="EU142">
        <v>0</v>
      </c>
      <c r="EV142">
        <v>27.48</v>
      </c>
      <c r="EW142">
        <v>3.77</v>
      </c>
      <c r="EX142">
        <v>0</v>
      </c>
      <c r="EY142">
        <v>0</v>
      </c>
      <c r="FQ142">
        <v>0</v>
      </c>
      <c r="FR142">
        <f t="shared" si="144"/>
        <v>0</v>
      </c>
      <c r="FS142">
        <v>0</v>
      </c>
      <c r="FT142" t="s">
        <v>36</v>
      </c>
      <c r="FU142" t="s">
        <v>37</v>
      </c>
      <c r="FX142">
        <v>56</v>
      </c>
      <c r="FY142">
        <v>61.2</v>
      </c>
      <c r="GA142" t="s">
        <v>3</v>
      </c>
      <c r="GD142">
        <v>0</v>
      </c>
      <c r="GF142">
        <v>-928721900</v>
      </c>
      <c r="GG142">
        <v>2</v>
      </c>
      <c r="GH142">
        <v>1</v>
      </c>
      <c r="GI142">
        <v>2</v>
      </c>
      <c r="GJ142">
        <v>0</v>
      </c>
      <c r="GK142">
        <f>ROUND(R142*(R12)/100,0)</f>
        <v>0</v>
      </c>
      <c r="GL142">
        <f t="shared" si="145"/>
        <v>0</v>
      </c>
      <c r="GM142">
        <f t="shared" si="146"/>
        <v>399</v>
      </c>
      <c r="GN142">
        <f t="shared" si="147"/>
        <v>399</v>
      </c>
      <c r="GO142">
        <f t="shared" si="148"/>
        <v>0</v>
      </c>
      <c r="GP142">
        <f t="shared" si="149"/>
        <v>0</v>
      </c>
      <c r="GR142">
        <v>0</v>
      </c>
      <c r="GS142">
        <v>3</v>
      </c>
      <c r="GT142">
        <v>0</v>
      </c>
      <c r="GU142" t="s">
        <v>3</v>
      </c>
      <c r="GV142">
        <f t="shared" si="150"/>
        <v>0</v>
      </c>
      <c r="GW142">
        <v>1</v>
      </c>
      <c r="GX142">
        <f t="shared" si="151"/>
        <v>0</v>
      </c>
      <c r="HA142">
        <v>0</v>
      </c>
      <c r="HB142">
        <v>0</v>
      </c>
      <c r="IK142">
        <v>0</v>
      </c>
    </row>
    <row r="143" spans="1:245">
      <c r="A143">
        <v>17</v>
      </c>
      <c r="B143">
        <v>1</v>
      </c>
      <c r="C143">
        <f>ROW(SmtRes!A247)</f>
        <v>247</v>
      </c>
      <c r="D143">
        <f>ROW(EtalonRes!A248)</f>
        <v>248</v>
      </c>
      <c r="E143" t="s">
        <v>305</v>
      </c>
      <c r="F143" t="s">
        <v>306</v>
      </c>
      <c r="G143" t="s">
        <v>307</v>
      </c>
      <c r="H143" t="s">
        <v>308</v>
      </c>
      <c r="I143">
        <f>ROUND(20.74/100,9)</f>
        <v>0.2074</v>
      </c>
      <c r="J143">
        <v>0</v>
      </c>
      <c r="O143">
        <f t="shared" si="119"/>
        <v>468</v>
      </c>
      <c r="P143">
        <f t="shared" si="120"/>
        <v>0</v>
      </c>
      <c r="Q143">
        <f t="shared" si="121"/>
        <v>92</v>
      </c>
      <c r="R143">
        <f t="shared" si="122"/>
        <v>24</v>
      </c>
      <c r="S143">
        <f t="shared" si="123"/>
        <v>376</v>
      </c>
      <c r="T143">
        <f t="shared" si="124"/>
        <v>0</v>
      </c>
      <c r="U143">
        <f t="shared" si="125"/>
        <v>2.5510200000000003</v>
      </c>
      <c r="V143">
        <f t="shared" si="126"/>
        <v>9.3329999999999996E-2</v>
      </c>
      <c r="W143">
        <f t="shared" si="127"/>
        <v>0</v>
      </c>
      <c r="X143">
        <f t="shared" si="128"/>
        <v>240</v>
      </c>
      <c r="Y143">
        <f t="shared" si="128"/>
        <v>252</v>
      </c>
      <c r="AA143">
        <v>48370320</v>
      </c>
      <c r="AB143">
        <f t="shared" si="129"/>
        <v>142.69999999999999</v>
      </c>
      <c r="AC143">
        <f t="shared" si="130"/>
        <v>0</v>
      </c>
      <c r="AD143">
        <f t="shared" si="131"/>
        <v>55.86</v>
      </c>
      <c r="AE143">
        <f t="shared" si="132"/>
        <v>5.45</v>
      </c>
      <c r="AF143">
        <f t="shared" si="132"/>
        <v>86.84</v>
      </c>
      <c r="AG143">
        <f t="shared" si="133"/>
        <v>0</v>
      </c>
      <c r="AH143">
        <f t="shared" si="134"/>
        <v>12.3</v>
      </c>
      <c r="AI143">
        <f t="shared" si="134"/>
        <v>0.45</v>
      </c>
      <c r="AJ143">
        <f t="shared" si="135"/>
        <v>0</v>
      </c>
      <c r="AK143">
        <v>142.69999999999999</v>
      </c>
      <c r="AL143">
        <v>0</v>
      </c>
      <c r="AM143">
        <v>55.86</v>
      </c>
      <c r="AN143">
        <v>5.45</v>
      </c>
      <c r="AO143">
        <v>86.84</v>
      </c>
      <c r="AP143">
        <v>0</v>
      </c>
      <c r="AQ143">
        <v>12.3</v>
      </c>
      <c r="AR143">
        <v>0.45</v>
      </c>
      <c r="AS143">
        <v>0</v>
      </c>
      <c r="AT143">
        <v>60</v>
      </c>
      <c r="AU143">
        <v>63</v>
      </c>
      <c r="AV143">
        <v>1</v>
      </c>
      <c r="AW143">
        <v>1</v>
      </c>
      <c r="AZ143">
        <v>1</v>
      </c>
      <c r="BA143">
        <v>20.88</v>
      </c>
      <c r="BB143">
        <v>7.91</v>
      </c>
      <c r="BC143">
        <v>1</v>
      </c>
      <c r="BD143" t="s">
        <v>3</v>
      </c>
      <c r="BE143" t="s">
        <v>3</v>
      </c>
      <c r="BF143" t="s">
        <v>3</v>
      </c>
      <c r="BG143" t="s">
        <v>3</v>
      </c>
      <c r="BH143">
        <v>0</v>
      </c>
      <c r="BI143">
        <v>1</v>
      </c>
      <c r="BJ143" t="s">
        <v>309</v>
      </c>
      <c r="BM143">
        <v>53001</v>
      </c>
      <c r="BN143">
        <v>0</v>
      </c>
      <c r="BO143" t="s">
        <v>306</v>
      </c>
      <c r="BP143">
        <v>1</v>
      </c>
      <c r="BQ143">
        <v>6</v>
      </c>
      <c r="BR143">
        <v>0</v>
      </c>
      <c r="BS143">
        <v>20.88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3</v>
      </c>
      <c r="BZ143">
        <v>86</v>
      </c>
      <c r="CA143">
        <v>70</v>
      </c>
      <c r="CF143">
        <v>0</v>
      </c>
      <c r="CG143">
        <v>0</v>
      </c>
      <c r="CM143">
        <v>0</v>
      </c>
      <c r="CN143" t="s">
        <v>3</v>
      </c>
      <c r="CO143">
        <v>0</v>
      </c>
      <c r="CP143">
        <f t="shared" si="136"/>
        <v>468</v>
      </c>
      <c r="CQ143">
        <f t="shared" si="137"/>
        <v>0</v>
      </c>
      <c r="CR143">
        <f t="shared" si="138"/>
        <v>441.8526</v>
      </c>
      <c r="CS143">
        <f t="shared" si="139"/>
        <v>113.79599999999999</v>
      </c>
      <c r="CT143">
        <f t="shared" si="140"/>
        <v>1813.2192</v>
      </c>
      <c r="CU143">
        <f t="shared" si="141"/>
        <v>0</v>
      </c>
      <c r="CV143">
        <f t="shared" si="141"/>
        <v>12.3</v>
      </c>
      <c r="CW143">
        <f t="shared" si="141"/>
        <v>0.45</v>
      </c>
      <c r="CX143">
        <f t="shared" si="141"/>
        <v>0</v>
      </c>
      <c r="CY143">
        <f t="shared" si="142"/>
        <v>240</v>
      </c>
      <c r="CZ143">
        <f t="shared" si="143"/>
        <v>252</v>
      </c>
      <c r="DC143" t="s">
        <v>3</v>
      </c>
      <c r="DD143" t="s">
        <v>3</v>
      </c>
      <c r="DE143" t="s">
        <v>3</v>
      </c>
      <c r="DF143" t="s">
        <v>3</v>
      </c>
      <c r="DG143" t="s">
        <v>3</v>
      </c>
      <c r="DH143" t="s">
        <v>3</v>
      </c>
      <c r="DI143" t="s">
        <v>3</v>
      </c>
      <c r="DJ143" t="s">
        <v>3</v>
      </c>
      <c r="DK143" t="s">
        <v>3</v>
      </c>
      <c r="DL143" t="s">
        <v>3</v>
      </c>
      <c r="DM143" t="s">
        <v>3</v>
      </c>
      <c r="DN143">
        <v>0</v>
      </c>
      <c r="DO143">
        <v>0</v>
      </c>
      <c r="DP143">
        <v>1</v>
      </c>
      <c r="DQ143">
        <v>1</v>
      </c>
      <c r="DU143">
        <v>1013</v>
      </c>
      <c r="DV143" t="s">
        <v>308</v>
      </c>
      <c r="DW143" t="s">
        <v>308</v>
      </c>
      <c r="DX143">
        <v>1</v>
      </c>
      <c r="EE143">
        <v>45269251</v>
      </c>
      <c r="EF143">
        <v>6</v>
      </c>
      <c r="EG143" t="s">
        <v>33</v>
      </c>
      <c r="EH143">
        <v>0</v>
      </c>
      <c r="EI143" t="s">
        <v>3</v>
      </c>
      <c r="EJ143">
        <v>1</v>
      </c>
      <c r="EK143">
        <v>53001</v>
      </c>
      <c r="EL143" t="s">
        <v>34</v>
      </c>
      <c r="EM143" t="s">
        <v>35</v>
      </c>
      <c r="EO143" t="s">
        <v>3</v>
      </c>
      <c r="EQ143">
        <v>0</v>
      </c>
      <c r="ER143">
        <v>142.69999999999999</v>
      </c>
      <c r="ES143">
        <v>0</v>
      </c>
      <c r="ET143">
        <v>55.86</v>
      </c>
      <c r="EU143">
        <v>5.45</v>
      </c>
      <c r="EV143">
        <v>86.84</v>
      </c>
      <c r="EW143">
        <v>12.3</v>
      </c>
      <c r="EX143">
        <v>0.45</v>
      </c>
      <c r="EY143">
        <v>0</v>
      </c>
      <c r="FQ143">
        <v>0</v>
      </c>
      <c r="FR143">
        <f t="shared" si="144"/>
        <v>0</v>
      </c>
      <c r="FS143">
        <v>0</v>
      </c>
      <c r="FT143" t="s">
        <v>36</v>
      </c>
      <c r="FU143" t="s">
        <v>37</v>
      </c>
      <c r="FX143">
        <v>60.2</v>
      </c>
      <c r="FY143">
        <v>63</v>
      </c>
      <c r="GA143" t="s">
        <v>3</v>
      </c>
      <c r="GD143">
        <v>0</v>
      </c>
      <c r="GF143">
        <v>2036056117</v>
      </c>
      <c r="GG143">
        <v>2</v>
      </c>
      <c r="GH143">
        <v>1</v>
      </c>
      <c r="GI143">
        <v>2</v>
      </c>
      <c r="GJ143">
        <v>0</v>
      </c>
      <c r="GK143">
        <f>ROUND(R143*(R12)/100,0)</f>
        <v>0</v>
      </c>
      <c r="GL143">
        <f t="shared" si="145"/>
        <v>0</v>
      </c>
      <c r="GM143">
        <f t="shared" si="146"/>
        <v>960</v>
      </c>
      <c r="GN143">
        <f t="shared" si="147"/>
        <v>960</v>
      </c>
      <c r="GO143">
        <f t="shared" si="148"/>
        <v>0</v>
      </c>
      <c r="GP143">
        <f t="shared" si="149"/>
        <v>0</v>
      </c>
      <c r="GR143">
        <v>0</v>
      </c>
      <c r="GS143">
        <v>3</v>
      </c>
      <c r="GT143">
        <v>0</v>
      </c>
      <c r="GU143" t="s">
        <v>3</v>
      </c>
      <c r="GV143">
        <f t="shared" si="150"/>
        <v>0</v>
      </c>
      <c r="GW143">
        <v>1</v>
      </c>
      <c r="GX143">
        <f t="shared" si="151"/>
        <v>0</v>
      </c>
      <c r="HA143">
        <v>0</v>
      </c>
      <c r="HB143">
        <v>0</v>
      </c>
      <c r="IK143">
        <v>0</v>
      </c>
    </row>
    <row r="144" spans="1:245">
      <c r="A144">
        <v>17</v>
      </c>
      <c r="B144">
        <v>1</v>
      </c>
      <c r="C144">
        <f>ROW(SmtRes!A250)</f>
        <v>250</v>
      </c>
      <c r="D144">
        <f>ROW(EtalonRes!A251)</f>
        <v>251</v>
      </c>
      <c r="E144" t="s">
        <v>310</v>
      </c>
      <c r="F144" t="s">
        <v>53</v>
      </c>
      <c r="G144" t="s">
        <v>54</v>
      </c>
      <c r="H144" t="s">
        <v>55</v>
      </c>
      <c r="I144">
        <f>ROUND(5.33/100,9)</f>
        <v>5.33E-2</v>
      </c>
      <c r="J144">
        <v>0</v>
      </c>
      <c r="O144">
        <f t="shared" si="119"/>
        <v>1009</v>
      </c>
      <c r="P144">
        <f t="shared" si="120"/>
        <v>0</v>
      </c>
      <c r="Q144">
        <f t="shared" si="121"/>
        <v>135</v>
      </c>
      <c r="R144">
        <f t="shared" si="122"/>
        <v>104</v>
      </c>
      <c r="S144">
        <f t="shared" si="123"/>
        <v>874</v>
      </c>
      <c r="T144">
        <f t="shared" si="124"/>
        <v>0</v>
      </c>
      <c r="U144">
        <f t="shared" si="125"/>
        <v>5.5384029999999997</v>
      </c>
      <c r="V144">
        <f t="shared" si="126"/>
        <v>0.41254200000000002</v>
      </c>
      <c r="W144">
        <f t="shared" si="127"/>
        <v>0</v>
      </c>
      <c r="X144">
        <f t="shared" si="128"/>
        <v>675</v>
      </c>
      <c r="Y144">
        <f t="shared" si="128"/>
        <v>528</v>
      </c>
      <c r="AA144">
        <v>48370320</v>
      </c>
      <c r="AB144">
        <f t="shared" si="129"/>
        <v>1033.94</v>
      </c>
      <c r="AC144">
        <f t="shared" si="130"/>
        <v>0</v>
      </c>
      <c r="AD144">
        <f t="shared" si="131"/>
        <v>248.38</v>
      </c>
      <c r="AE144">
        <f t="shared" si="132"/>
        <v>93.65</v>
      </c>
      <c r="AF144">
        <f t="shared" si="132"/>
        <v>785.56</v>
      </c>
      <c r="AG144">
        <f t="shared" si="133"/>
        <v>0</v>
      </c>
      <c r="AH144">
        <f t="shared" si="134"/>
        <v>103.91</v>
      </c>
      <c r="AI144">
        <f t="shared" si="134"/>
        <v>7.74</v>
      </c>
      <c r="AJ144">
        <f t="shared" si="135"/>
        <v>0</v>
      </c>
      <c r="AK144">
        <v>1033.94</v>
      </c>
      <c r="AL144">
        <v>0</v>
      </c>
      <c r="AM144">
        <v>248.38</v>
      </c>
      <c r="AN144">
        <v>93.65</v>
      </c>
      <c r="AO144">
        <v>785.56</v>
      </c>
      <c r="AP144">
        <v>0</v>
      </c>
      <c r="AQ144">
        <v>103.91</v>
      </c>
      <c r="AR144">
        <v>7.74</v>
      </c>
      <c r="AS144">
        <v>0</v>
      </c>
      <c r="AT144">
        <v>69</v>
      </c>
      <c r="AU144">
        <v>54</v>
      </c>
      <c r="AV144">
        <v>1</v>
      </c>
      <c r="AW144">
        <v>1</v>
      </c>
      <c r="AZ144">
        <v>1</v>
      </c>
      <c r="BA144">
        <v>20.88</v>
      </c>
      <c r="BB144">
        <v>10.210000000000001</v>
      </c>
      <c r="BC144">
        <v>1</v>
      </c>
      <c r="BD144" t="s">
        <v>3</v>
      </c>
      <c r="BE144" t="s">
        <v>3</v>
      </c>
      <c r="BF144" t="s">
        <v>3</v>
      </c>
      <c r="BG144" t="s">
        <v>3</v>
      </c>
      <c r="BH144">
        <v>0</v>
      </c>
      <c r="BI144">
        <v>1</v>
      </c>
      <c r="BJ144" t="s">
        <v>56</v>
      </c>
      <c r="BM144">
        <v>46001</v>
      </c>
      <c r="BN144">
        <v>0</v>
      </c>
      <c r="BO144" t="s">
        <v>53</v>
      </c>
      <c r="BP144">
        <v>1</v>
      </c>
      <c r="BQ144">
        <v>2</v>
      </c>
      <c r="BR144">
        <v>0</v>
      </c>
      <c r="BS144">
        <v>20.88</v>
      </c>
      <c r="BT144">
        <v>1</v>
      </c>
      <c r="BU144">
        <v>1</v>
      </c>
      <c r="BV144">
        <v>1</v>
      </c>
      <c r="BW144">
        <v>1</v>
      </c>
      <c r="BX144">
        <v>1</v>
      </c>
      <c r="BY144" t="s">
        <v>3</v>
      </c>
      <c r="BZ144">
        <v>110</v>
      </c>
      <c r="CA144">
        <v>70</v>
      </c>
      <c r="CF144">
        <v>0</v>
      </c>
      <c r="CG144">
        <v>0</v>
      </c>
      <c r="CM144">
        <v>0</v>
      </c>
      <c r="CN144" t="s">
        <v>3</v>
      </c>
      <c r="CO144">
        <v>0</v>
      </c>
      <c r="CP144">
        <f t="shared" si="136"/>
        <v>1009</v>
      </c>
      <c r="CQ144">
        <f t="shared" si="137"/>
        <v>0</v>
      </c>
      <c r="CR144">
        <f t="shared" si="138"/>
        <v>2535.9598000000001</v>
      </c>
      <c r="CS144">
        <f t="shared" si="139"/>
        <v>1955.412</v>
      </c>
      <c r="CT144">
        <f t="shared" si="140"/>
        <v>16402.492799999996</v>
      </c>
      <c r="CU144">
        <f t="shared" si="141"/>
        <v>0</v>
      </c>
      <c r="CV144">
        <f t="shared" si="141"/>
        <v>103.91</v>
      </c>
      <c r="CW144">
        <f t="shared" si="141"/>
        <v>7.74</v>
      </c>
      <c r="CX144">
        <f t="shared" si="141"/>
        <v>0</v>
      </c>
      <c r="CY144">
        <f t="shared" si="142"/>
        <v>674.82</v>
      </c>
      <c r="CZ144">
        <f t="shared" si="143"/>
        <v>528.12</v>
      </c>
      <c r="DC144" t="s">
        <v>3</v>
      </c>
      <c r="DD144" t="s">
        <v>3</v>
      </c>
      <c r="DE144" t="s">
        <v>3</v>
      </c>
      <c r="DF144" t="s">
        <v>3</v>
      </c>
      <c r="DG144" t="s">
        <v>3</v>
      </c>
      <c r="DH144" t="s">
        <v>3</v>
      </c>
      <c r="DI144" t="s">
        <v>3</v>
      </c>
      <c r="DJ144" t="s">
        <v>3</v>
      </c>
      <c r="DK144" t="s">
        <v>3</v>
      </c>
      <c r="DL144" t="s">
        <v>3</v>
      </c>
      <c r="DM144" t="s">
        <v>3</v>
      </c>
      <c r="DN144">
        <v>0</v>
      </c>
      <c r="DO144">
        <v>0</v>
      </c>
      <c r="DP144">
        <v>1</v>
      </c>
      <c r="DQ144">
        <v>1</v>
      </c>
      <c r="DU144">
        <v>1005</v>
      </c>
      <c r="DV144" t="s">
        <v>55</v>
      </c>
      <c r="DW144" t="s">
        <v>55</v>
      </c>
      <c r="DX144">
        <v>100</v>
      </c>
      <c r="EE144">
        <v>45269244</v>
      </c>
      <c r="EF144">
        <v>2</v>
      </c>
      <c r="EG144" t="s">
        <v>19</v>
      </c>
      <c r="EH144">
        <v>0</v>
      </c>
      <c r="EI144" t="s">
        <v>3</v>
      </c>
      <c r="EJ144">
        <v>1</v>
      </c>
      <c r="EK144">
        <v>46001</v>
      </c>
      <c r="EL144" t="s">
        <v>20</v>
      </c>
      <c r="EM144" t="s">
        <v>21</v>
      </c>
      <c r="EO144" t="s">
        <v>3</v>
      </c>
      <c r="EQ144">
        <v>0</v>
      </c>
      <c r="ER144">
        <v>1033.94</v>
      </c>
      <c r="ES144">
        <v>0</v>
      </c>
      <c r="ET144">
        <v>248.38</v>
      </c>
      <c r="EU144">
        <v>93.65</v>
      </c>
      <c r="EV144">
        <v>785.56</v>
      </c>
      <c r="EW144">
        <v>103.91</v>
      </c>
      <c r="EX144">
        <v>7.74</v>
      </c>
      <c r="EY144">
        <v>0</v>
      </c>
      <c r="FQ144">
        <v>0</v>
      </c>
      <c r="FR144">
        <f t="shared" si="144"/>
        <v>0</v>
      </c>
      <c r="FS144">
        <v>0</v>
      </c>
      <c r="FT144" t="s">
        <v>22</v>
      </c>
      <c r="FU144" t="s">
        <v>23</v>
      </c>
      <c r="FX144">
        <v>69.3</v>
      </c>
      <c r="FY144">
        <v>53.55</v>
      </c>
      <c r="GA144" t="s">
        <v>3</v>
      </c>
      <c r="GD144">
        <v>0</v>
      </c>
      <c r="GF144">
        <v>-1978642567</v>
      </c>
      <c r="GG144">
        <v>2</v>
      </c>
      <c r="GH144">
        <v>1</v>
      </c>
      <c r="GI144">
        <v>2</v>
      </c>
      <c r="GJ144">
        <v>0</v>
      </c>
      <c r="GK144">
        <f>ROUND(R144*(R12)/100,0)</f>
        <v>0</v>
      </c>
      <c r="GL144">
        <f t="shared" si="145"/>
        <v>0</v>
      </c>
      <c r="GM144">
        <f t="shared" si="146"/>
        <v>2212</v>
      </c>
      <c r="GN144">
        <f t="shared" si="147"/>
        <v>2212</v>
      </c>
      <c r="GO144">
        <f t="shared" si="148"/>
        <v>0</v>
      </c>
      <c r="GP144">
        <f t="shared" si="149"/>
        <v>0</v>
      </c>
      <c r="GR144">
        <v>0</v>
      </c>
      <c r="GS144">
        <v>3</v>
      </c>
      <c r="GT144">
        <v>0</v>
      </c>
      <c r="GU144" t="s">
        <v>3</v>
      </c>
      <c r="GV144">
        <f t="shared" si="150"/>
        <v>0</v>
      </c>
      <c r="GW144">
        <v>1</v>
      </c>
      <c r="GX144">
        <f t="shared" si="151"/>
        <v>0</v>
      </c>
      <c r="HA144">
        <v>0</v>
      </c>
      <c r="HB144">
        <v>0</v>
      </c>
      <c r="IK144">
        <v>0</v>
      </c>
    </row>
    <row r="145" spans="1:245">
      <c r="A145">
        <v>17</v>
      </c>
      <c r="B145">
        <v>1</v>
      </c>
      <c r="C145">
        <f>ROW(SmtRes!A251)</f>
        <v>251</v>
      </c>
      <c r="D145">
        <f>ROW(EtalonRes!A252)</f>
        <v>252</v>
      </c>
      <c r="E145" t="s">
        <v>311</v>
      </c>
      <c r="F145" t="s">
        <v>312</v>
      </c>
      <c r="G145" t="s">
        <v>313</v>
      </c>
      <c r="H145" t="s">
        <v>314</v>
      </c>
      <c r="I145">
        <f>ROUND(35.18/100,9)</f>
        <v>0.3518</v>
      </c>
      <c r="J145">
        <v>0</v>
      </c>
      <c r="O145">
        <f t="shared" si="119"/>
        <v>1114</v>
      </c>
      <c r="P145">
        <f t="shared" si="120"/>
        <v>0</v>
      </c>
      <c r="Q145">
        <f t="shared" si="121"/>
        <v>0</v>
      </c>
      <c r="R145">
        <f t="shared" si="122"/>
        <v>0</v>
      </c>
      <c r="S145">
        <f t="shared" si="123"/>
        <v>1114</v>
      </c>
      <c r="T145">
        <f t="shared" si="124"/>
        <v>0</v>
      </c>
      <c r="U145">
        <f t="shared" si="125"/>
        <v>7.3174400000000004</v>
      </c>
      <c r="V145">
        <f t="shared" si="126"/>
        <v>0</v>
      </c>
      <c r="W145">
        <f t="shared" si="127"/>
        <v>0</v>
      </c>
      <c r="X145">
        <f t="shared" si="128"/>
        <v>624</v>
      </c>
      <c r="Y145">
        <f t="shared" si="128"/>
        <v>501</v>
      </c>
      <c r="AA145">
        <v>48370320</v>
      </c>
      <c r="AB145">
        <f t="shared" si="129"/>
        <v>151.63</v>
      </c>
      <c r="AC145">
        <f t="shared" si="130"/>
        <v>0</v>
      </c>
      <c r="AD145">
        <f t="shared" si="131"/>
        <v>0</v>
      </c>
      <c r="AE145">
        <f t="shared" si="132"/>
        <v>0</v>
      </c>
      <c r="AF145">
        <f t="shared" si="132"/>
        <v>151.63</v>
      </c>
      <c r="AG145">
        <f t="shared" si="133"/>
        <v>0</v>
      </c>
      <c r="AH145">
        <f t="shared" si="134"/>
        <v>20.8</v>
      </c>
      <c r="AI145">
        <f t="shared" si="134"/>
        <v>0</v>
      </c>
      <c r="AJ145">
        <f t="shared" si="135"/>
        <v>0</v>
      </c>
      <c r="AK145">
        <v>151.63</v>
      </c>
      <c r="AL145">
        <v>0</v>
      </c>
      <c r="AM145">
        <v>0</v>
      </c>
      <c r="AN145">
        <v>0</v>
      </c>
      <c r="AO145">
        <v>151.63</v>
      </c>
      <c r="AP145">
        <v>0</v>
      </c>
      <c r="AQ145">
        <v>20.8</v>
      </c>
      <c r="AR145">
        <v>0</v>
      </c>
      <c r="AS145">
        <v>0</v>
      </c>
      <c r="AT145">
        <v>56</v>
      </c>
      <c r="AU145">
        <v>45</v>
      </c>
      <c r="AV145">
        <v>1</v>
      </c>
      <c r="AW145">
        <v>1</v>
      </c>
      <c r="AZ145">
        <v>1</v>
      </c>
      <c r="BA145">
        <v>20.88</v>
      </c>
      <c r="BB145">
        <v>1</v>
      </c>
      <c r="BC145">
        <v>1</v>
      </c>
      <c r="BD145" t="s">
        <v>3</v>
      </c>
      <c r="BE145" t="s">
        <v>3</v>
      </c>
      <c r="BF145" t="s">
        <v>3</v>
      </c>
      <c r="BG145" t="s">
        <v>3</v>
      </c>
      <c r="BH145">
        <v>0</v>
      </c>
      <c r="BI145">
        <v>1</v>
      </c>
      <c r="BJ145" t="s">
        <v>315</v>
      </c>
      <c r="BM145">
        <v>62001</v>
      </c>
      <c r="BN145">
        <v>0</v>
      </c>
      <c r="BO145" t="s">
        <v>312</v>
      </c>
      <c r="BP145">
        <v>1</v>
      </c>
      <c r="BQ145">
        <v>6</v>
      </c>
      <c r="BR145">
        <v>0</v>
      </c>
      <c r="BS145">
        <v>20.88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3</v>
      </c>
      <c r="BZ145">
        <v>80</v>
      </c>
      <c r="CA145">
        <v>50</v>
      </c>
      <c r="CF145">
        <v>0</v>
      </c>
      <c r="CG145">
        <v>0</v>
      </c>
      <c r="CM145">
        <v>0</v>
      </c>
      <c r="CN145" t="s">
        <v>3</v>
      </c>
      <c r="CO145">
        <v>0</v>
      </c>
      <c r="CP145">
        <f t="shared" si="136"/>
        <v>1114</v>
      </c>
      <c r="CQ145">
        <f t="shared" si="137"/>
        <v>0</v>
      </c>
      <c r="CR145">
        <f t="shared" si="138"/>
        <v>0</v>
      </c>
      <c r="CS145">
        <f t="shared" si="139"/>
        <v>0</v>
      </c>
      <c r="CT145">
        <f t="shared" si="140"/>
        <v>3166.0343999999996</v>
      </c>
      <c r="CU145">
        <f t="shared" si="141"/>
        <v>0</v>
      </c>
      <c r="CV145">
        <f t="shared" si="141"/>
        <v>20.8</v>
      </c>
      <c r="CW145">
        <f t="shared" si="141"/>
        <v>0</v>
      </c>
      <c r="CX145">
        <f t="shared" si="141"/>
        <v>0</v>
      </c>
      <c r="CY145">
        <f t="shared" si="142"/>
        <v>623.84</v>
      </c>
      <c r="CZ145">
        <f t="shared" si="143"/>
        <v>501.3</v>
      </c>
      <c r="DC145" t="s">
        <v>3</v>
      </c>
      <c r="DD145" t="s">
        <v>3</v>
      </c>
      <c r="DE145" t="s">
        <v>3</v>
      </c>
      <c r="DF145" t="s">
        <v>3</v>
      </c>
      <c r="DG145" t="s">
        <v>3</v>
      </c>
      <c r="DH145" t="s">
        <v>3</v>
      </c>
      <c r="DI145" t="s">
        <v>3</v>
      </c>
      <c r="DJ145" t="s">
        <v>3</v>
      </c>
      <c r="DK145" t="s">
        <v>3</v>
      </c>
      <c r="DL145" t="s">
        <v>3</v>
      </c>
      <c r="DM145" t="s">
        <v>3</v>
      </c>
      <c r="DN145">
        <v>0</v>
      </c>
      <c r="DO145">
        <v>0</v>
      </c>
      <c r="DP145">
        <v>1</v>
      </c>
      <c r="DQ145">
        <v>1</v>
      </c>
      <c r="DU145">
        <v>1013</v>
      </c>
      <c r="DV145" t="s">
        <v>314</v>
      </c>
      <c r="DW145" t="s">
        <v>314</v>
      </c>
      <c r="DX145">
        <v>1</v>
      </c>
      <c r="EE145">
        <v>45269260</v>
      </c>
      <c r="EF145">
        <v>6</v>
      </c>
      <c r="EG145" t="s">
        <v>33</v>
      </c>
      <c r="EH145">
        <v>0</v>
      </c>
      <c r="EI145" t="s">
        <v>3</v>
      </c>
      <c r="EJ145">
        <v>1</v>
      </c>
      <c r="EK145">
        <v>62001</v>
      </c>
      <c r="EL145" t="s">
        <v>316</v>
      </c>
      <c r="EM145" t="s">
        <v>317</v>
      </c>
      <c r="EO145" t="s">
        <v>3</v>
      </c>
      <c r="EQ145">
        <v>0</v>
      </c>
      <c r="ER145">
        <v>151.63</v>
      </c>
      <c r="ES145">
        <v>0</v>
      </c>
      <c r="ET145">
        <v>0</v>
      </c>
      <c r="EU145">
        <v>0</v>
      </c>
      <c r="EV145">
        <v>151.63</v>
      </c>
      <c r="EW145">
        <v>20.8</v>
      </c>
      <c r="EX145">
        <v>0</v>
      </c>
      <c r="EY145">
        <v>0</v>
      </c>
      <c r="FQ145">
        <v>0</v>
      </c>
      <c r="FR145">
        <f t="shared" si="144"/>
        <v>0</v>
      </c>
      <c r="FS145">
        <v>0</v>
      </c>
      <c r="FT145" t="s">
        <v>36</v>
      </c>
      <c r="FU145" t="s">
        <v>37</v>
      </c>
      <c r="FX145">
        <v>56</v>
      </c>
      <c r="FY145">
        <v>45</v>
      </c>
      <c r="GA145" t="s">
        <v>3</v>
      </c>
      <c r="GD145">
        <v>0</v>
      </c>
      <c r="GF145">
        <v>71150502</v>
      </c>
      <c r="GG145">
        <v>2</v>
      </c>
      <c r="GH145">
        <v>1</v>
      </c>
      <c r="GI145">
        <v>2</v>
      </c>
      <c r="GJ145">
        <v>0</v>
      </c>
      <c r="GK145">
        <f>ROUND(R145*(R12)/100,0)</f>
        <v>0</v>
      </c>
      <c r="GL145">
        <f t="shared" si="145"/>
        <v>0</v>
      </c>
      <c r="GM145">
        <f t="shared" si="146"/>
        <v>2239</v>
      </c>
      <c r="GN145">
        <f t="shared" si="147"/>
        <v>2239</v>
      </c>
      <c r="GO145">
        <f t="shared" si="148"/>
        <v>0</v>
      </c>
      <c r="GP145">
        <f t="shared" si="149"/>
        <v>0</v>
      </c>
      <c r="GR145">
        <v>0</v>
      </c>
      <c r="GS145">
        <v>3</v>
      </c>
      <c r="GT145">
        <v>0</v>
      </c>
      <c r="GU145" t="s">
        <v>3</v>
      </c>
      <c r="GV145">
        <f t="shared" si="150"/>
        <v>0</v>
      </c>
      <c r="GW145">
        <v>1</v>
      </c>
      <c r="GX145">
        <f t="shared" si="151"/>
        <v>0</v>
      </c>
      <c r="HA145">
        <v>0</v>
      </c>
      <c r="HB145">
        <v>0</v>
      </c>
      <c r="IK145">
        <v>0</v>
      </c>
    </row>
    <row r="146" spans="1:245">
      <c r="A146">
        <v>17</v>
      </c>
      <c r="B146">
        <v>1</v>
      </c>
      <c r="C146">
        <f>ROW(SmtRes!A252)</f>
        <v>252</v>
      </c>
      <c r="D146">
        <f>ROW(EtalonRes!A253)</f>
        <v>253</v>
      </c>
      <c r="E146" t="s">
        <v>318</v>
      </c>
      <c r="F146" t="s">
        <v>312</v>
      </c>
      <c r="G146" t="s">
        <v>319</v>
      </c>
      <c r="H146" t="s">
        <v>314</v>
      </c>
      <c r="I146">
        <f>ROUND(46/100,9)</f>
        <v>0.46</v>
      </c>
      <c r="J146">
        <v>0</v>
      </c>
      <c r="O146">
        <f t="shared" si="119"/>
        <v>1456</v>
      </c>
      <c r="P146">
        <f t="shared" si="120"/>
        <v>0</v>
      </c>
      <c r="Q146">
        <f t="shared" si="121"/>
        <v>0</v>
      </c>
      <c r="R146">
        <f t="shared" si="122"/>
        <v>0</v>
      </c>
      <c r="S146">
        <f t="shared" si="123"/>
        <v>1456</v>
      </c>
      <c r="T146">
        <f t="shared" si="124"/>
        <v>0</v>
      </c>
      <c r="U146">
        <f t="shared" si="125"/>
        <v>9.5680000000000014</v>
      </c>
      <c r="V146">
        <f t="shared" si="126"/>
        <v>0</v>
      </c>
      <c r="W146">
        <f t="shared" si="127"/>
        <v>0</v>
      </c>
      <c r="X146">
        <f t="shared" si="128"/>
        <v>815</v>
      </c>
      <c r="Y146">
        <f t="shared" si="128"/>
        <v>655</v>
      </c>
      <c r="AA146">
        <v>48370320</v>
      </c>
      <c r="AB146">
        <f t="shared" si="129"/>
        <v>151.63</v>
      </c>
      <c r="AC146">
        <f t="shared" si="130"/>
        <v>0</v>
      </c>
      <c r="AD146">
        <f t="shared" si="131"/>
        <v>0</v>
      </c>
      <c r="AE146">
        <f t="shared" si="132"/>
        <v>0</v>
      </c>
      <c r="AF146">
        <f t="shared" si="132"/>
        <v>151.63</v>
      </c>
      <c r="AG146">
        <f t="shared" si="133"/>
        <v>0</v>
      </c>
      <c r="AH146">
        <f t="shared" si="134"/>
        <v>20.8</v>
      </c>
      <c r="AI146">
        <f t="shared" si="134"/>
        <v>0</v>
      </c>
      <c r="AJ146">
        <f t="shared" si="135"/>
        <v>0</v>
      </c>
      <c r="AK146">
        <v>151.63</v>
      </c>
      <c r="AL146">
        <v>0</v>
      </c>
      <c r="AM146">
        <v>0</v>
      </c>
      <c r="AN146">
        <v>0</v>
      </c>
      <c r="AO146">
        <v>151.63</v>
      </c>
      <c r="AP146">
        <v>0</v>
      </c>
      <c r="AQ146">
        <v>20.8</v>
      </c>
      <c r="AR146">
        <v>0</v>
      </c>
      <c r="AS146">
        <v>0</v>
      </c>
      <c r="AT146">
        <v>56</v>
      </c>
      <c r="AU146">
        <v>45</v>
      </c>
      <c r="AV146">
        <v>1</v>
      </c>
      <c r="AW146">
        <v>1</v>
      </c>
      <c r="AZ146">
        <v>1</v>
      </c>
      <c r="BA146">
        <v>20.88</v>
      </c>
      <c r="BB146">
        <v>1</v>
      </c>
      <c r="BC146">
        <v>1</v>
      </c>
      <c r="BD146" t="s">
        <v>3</v>
      </c>
      <c r="BE146" t="s">
        <v>3</v>
      </c>
      <c r="BF146" t="s">
        <v>3</v>
      </c>
      <c r="BG146" t="s">
        <v>3</v>
      </c>
      <c r="BH146">
        <v>0</v>
      </c>
      <c r="BI146">
        <v>1</v>
      </c>
      <c r="BJ146" t="s">
        <v>315</v>
      </c>
      <c r="BM146">
        <v>62001</v>
      </c>
      <c r="BN146">
        <v>0</v>
      </c>
      <c r="BO146" t="s">
        <v>312</v>
      </c>
      <c r="BP146">
        <v>1</v>
      </c>
      <c r="BQ146">
        <v>6</v>
      </c>
      <c r="BR146">
        <v>0</v>
      </c>
      <c r="BS146">
        <v>20.88</v>
      </c>
      <c r="BT146">
        <v>1</v>
      </c>
      <c r="BU146">
        <v>1</v>
      </c>
      <c r="BV146">
        <v>1</v>
      </c>
      <c r="BW146">
        <v>1</v>
      </c>
      <c r="BX146">
        <v>1</v>
      </c>
      <c r="BY146" t="s">
        <v>3</v>
      </c>
      <c r="BZ146">
        <v>80</v>
      </c>
      <c r="CA146">
        <v>50</v>
      </c>
      <c r="CF146">
        <v>0</v>
      </c>
      <c r="CG146">
        <v>0</v>
      </c>
      <c r="CM146">
        <v>0</v>
      </c>
      <c r="CN146" t="s">
        <v>3</v>
      </c>
      <c r="CO146">
        <v>0</v>
      </c>
      <c r="CP146">
        <f t="shared" si="136"/>
        <v>1456</v>
      </c>
      <c r="CQ146">
        <f t="shared" si="137"/>
        <v>0</v>
      </c>
      <c r="CR146">
        <f t="shared" si="138"/>
        <v>0</v>
      </c>
      <c r="CS146">
        <f t="shared" si="139"/>
        <v>0</v>
      </c>
      <c r="CT146">
        <f t="shared" si="140"/>
        <v>3166.0343999999996</v>
      </c>
      <c r="CU146">
        <f t="shared" si="141"/>
        <v>0</v>
      </c>
      <c r="CV146">
        <f t="shared" si="141"/>
        <v>20.8</v>
      </c>
      <c r="CW146">
        <f t="shared" si="141"/>
        <v>0</v>
      </c>
      <c r="CX146">
        <f t="shared" si="141"/>
        <v>0</v>
      </c>
      <c r="CY146">
        <f t="shared" si="142"/>
        <v>815.36</v>
      </c>
      <c r="CZ146">
        <f t="shared" si="143"/>
        <v>655.20000000000005</v>
      </c>
      <c r="DC146" t="s">
        <v>3</v>
      </c>
      <c r="DD146" t="s">
        <v>3</v>
      </c>
      <c r="DE146" t="s">
        <v>3</v>
      </c>
      <c r="DF146" t="s">
        <v>3</v>
      </c>
      <c r="DG146" t="s">
        <v>3</v>
      </c>
      <c r="DH146" t="s">
        <v>3</v>
      </c>
      <c r="DI146" t="s">
        <v>3</v>
      </c>
      <c r="DJ146" t="s">
        <v>3</v>
      </c>
      <c r="DK146" t="s">
        <v>3</v>
      </c>
      <c r="DL146" t="s">
        <v>3</v>
      </c>
      <c r="DM146" t="s">
        <v>3</v>
      </c>
      <c r="DN146">
        <v>0</v>
      </c>
      <c r="DO146">
        <v>0</v>
      </c>
      <c r="DP146">
        <v>1</v>
      </c>
      <c r="DQ146">
        <v>1</v>
      </c>
      <c r="DU146">
        <v>1013</v>
      </c>
      <c r="DV146" t="s">
        <v>314</v>
      </c>
      <c r="DW146" t="s">
        <v>314</v>
      </c>
      <c r="DX146">
        <v>1</v>
      </c>
      <c r="EE146">
        <v>45269260</v>
      </c>
      <c r="EF146">
        <v>6</v>
      </c>
      <c r="EG146" t="s">
        <v>33</v>
      </c>
      <c r="EH146">
        <v>0</v>
      </c>
      <c r="EI146" t="s">
        <v>3</v>
      </c>
      <c r="EJ146">
        <v>1</v>
      </c>
      <c r="EK146">
        <v>62001</v>
      </c>
      <c r="EL146" t="s">
        <v>316</v>
      </c>
      <c r="EM146" t="s">
        <v>317</v>
      </c>
      <c r="EO146" t="s">
        <v>3</v>
      </c>
      <c r="EQ146">
        <v>0</v>
      </c>
      <c r="ER146">
        <v>151.63</v>
      </c>
      <c r="ES146">
        <v>0</v>
      </c>
      <c r="ET146">
        <v>0</v>
      </c>
      <c r="EU146">
        <v>0</v>
      </c>
      <c r="EV146">
        <v>151.63</v>
      </c>
      <c r="EW146">
        <v>20.8</v>
      </c>
      <c r="EX146">
        <v>0</v>
      </c>
      <c r="EY146">
        <v>0</v>
      </c>
      <c r="FQ146">
        <v>0</v>
      </c>
      <c r="FR146">
        <f t="shared" si="144"/>
        <v>0</v>
      </c>
      <c r="FS146">
        <v>0</v>
      </c>
      <c r="FT146" t="s">
        <v>36</v>
      </c>
      <c r="FU146" t="s">
        <v>37</v>
      </c>
      <c r="FX146">
        <v>56</v>
      </c>
      <c r="FY146">
        <v>45</v>
      </c>
      <c r="GA146" t="s">
        <v>3</v>
      </c>
      <c r="GD146">
        <v>0</v>
      </c>
      <c r="GF146">
        <v>-2128413892</v>
      </c>
      <c r="GG146">
        <v>2</v>
      </c>
      <c r="GH146">
        <v>1</v>
      </c>
      <c r="GI146">
        <v>2</v>
      </c>
      <c r="GJ146">
        <v>0</v>
      </c>
      <c r="GK146">
        <f>ROUND(R146*(R12)/100,0)</f>
        <v>0</v>
      </c>
      <c r="GL146">
        <f t="shared" si="145"/>
        <v>0</v>
      </c>
      <c r="GM146">
        <f t="shared" si="146"/>
        <v>2926</v>
      </c>
      <c r="GN146">
        <f t="shared" si="147"/>
        <v>2926</v>
      </c>
      <c r="GO146">
        <f t="shared" si="148"/>
        <v>0</v>
      </c>
      <c r="GP146">
        <f t="shared" si="149"/>
        <v>0</v>
      </c>
      <c r="GR146">
        <v>0</v>
      </c>
      <c r="GS146">
        <v>3</v>
      </c>
      <c r="GT146">
        <v>0</v>
      </c>
      <c r="GU146" t="s">
        <v>3</v>
      </c>
      <c r="GV146">
        <f t="shared" si="150"/>
        <v>0</v>
      </c>
      <c r="GW146">
        <v>1</v>
      </c>
      <c r="GX146">
        <f t="shared" si="151"/>
        <v>0</v>
      </c>
      <c r="HA146">
        <v>0</v>
      </c>
      <c r="HB146">
        <v>0</v>
      </c>
      <c r="IK146">
        <v>0</v>
      </c>
    </row>
    <row r="147" spans="1:245">
      <c r="A147">
        <v>17</v>
      </c>
      <c r="B147">
        <v>1</v>
      </c>
      <c r="C147">
        <f>ROW(SmtRes!A256)</f>
        <v>256</v>
      </c>
      <c r="D147">
        <f>ROW(EtalonRes!A257)</f>
        <v>257</v>
      </c>
      <c r="E147" t="s">
        <v>320</v>
      </c>
      <c r="F147" t="s">
        <v>76</v>
      </c>
      <c r="G147" t="s">
        <v>77</v>
      </c>
      <c r="H147" t="s">
        <v>71</v>
      </c>
      <c r="I147">
        <f>ROUND(1/100,9)</f>
        <v>0.01</v>
      </c>
      <c r="J147">
        <v>0</v>
      </c>
      <c r="O147">
        <f t="shared" si="119"/>
        <v>86</v>
      </c>
      <c r="P147">
        <f t="shared" si="120"/>
        <v>0</v>
      </c>
      <c r="Q147">
        <f t="shared" si="121"/>
        <v>1</v>
      </c>
      <c r="R147">
        <f t="shared" si="122"/>
        <v>1</v>
      </c>
      <c r="S147">
        <f t="shared" si="123"/>
        <v>85</v>
      </c>
      <c r="T147">
        <f t="shared" si="124"/>
        <v>0</v>
      </c>
      <c r="U147">
        <f t="shared" si="125"/>
        <v>0.51300000000000001</v>
      </c>
      <c r="V147">
        <f t="shared" si="126"/>
        <v>2.6000000000000003E-3</v>
      </c>
      <c r="W147">
        <f t="shared" si="127"/>
        <v>0</v>
      </c>
      <c r="X147">
        <f t="shared" si="128"/>
        <v>45</v>
      </c>
      <c r="Y147">
        <f t="shared" si="128"/>
        <v>39</v>
      </c>
      <c r="AA147">
        <v>48370320</v>
      </c>
      <c r="AB147">
        <f t="shared" si="129"/>
        <v>417.2</v>
      </c>
      <c r="AC147">
        <f t="shared" si="130"/>
        <v>0</v>
      </c>
      <c r="AD147">
        <f t="shared" si="131"/>
        <v>8.34</v>
      </c>
      <c r="AE147">
        <f t="shared" si="132"/>
        <v>3.15</v>
      </c>
      <c r="AF147">
        <f t="shared" si="132"/>
        <v>408.86</v>
      </c>
      <c r="AG147">
        <f t="shared" si="133"/>
        <v>0</v>
      </c>
      <c r="AH147">
        <f t="shared" si="134"/>
        <v>51.3</v>
      </c>
      <c r="AI147">
        <f t="shared" si="134"/>
        <v>0.26</v>
      </c>
      <c r="AJ147">
        <f t="shared" si="135"/>
        <v>0</v>
      </c>
      <c r="AK147">
        <v>417.2</v>
      </c>
      <c r="AL147">
        <v>0</v>
      </c>
      <c r="AM147">
        <v>8.34</v>
      </c>
      <c r="AN147">
        <v>3.15</v>
      </c>
      <c r="AO147">
        <v>408.86</v>
      </c>
      <c r="AP147">
        <v>0</v>
      </c>
      <c r="AQ147">
        <v>51.3</v>
      </c>
      <c r="AR147">
        <v>0.26</v>
      </c>
      <c r="AS147">
        <v>0</v>
      </c>
      <c r="AT147">
        <v>52</v>
      </c>
      <c r="AU147">
        <v>45</v>
      </c>
      <c r="AV147">
        <v>1</v>
      </c>
      <c r="AW147">
        <v>1</v>
      </c>
      <c r="AZ147">
        <v>1</v>
      </c>
      <c r="BA147">
        <v>20.88</v>
      </c>
      <c r="BB147">
        <v>10.220000000000001</v>
      </c>
      <c r="BC147">
        <v>1</v>
      </c>
      <c r="BD147" t="s">
        <v>3</v>
      </c>
      <c r="BE147" t="s">
        <v>3</v>
      </c>
      <c r="BF147" t="s">
        <v>3</v>
      </c>
      <c r="BG147" t="s">
        <v>3</v>
      </c>
      <c r="BH147">
        <v>0</v>
      </c>
      <c r="BI147">
        <v>1</v>
      </c>
      <c r="BJ147" t="s">
        <v>78</v>
      </c>
      <c r="BM147">
        <v>65001</v>
      </c>
      <c r="BN147">
        <v>0</v>
      </c>
      <c r="BO147" t="s">
        <v>76</v>
      </c>
      <c r="BP147">
        <v>1</v>
      </c>
      <c r="BQ147">
        <v>6</v>
      </c>
      <c r="BR147">
        <v>0</v>
      </c>
      <c r="BS147">
        <v>20.88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3</v>
      </c>
      <c r="BZ147">
        <v>74</v>
      </c>
      <c r="CA147">
        <v>50</v>
      </c>
      <c r="CF147">
        <v>0</v>
      </c>
      <c r="CG147">
        <v>0</v>
      </c>
      <c r="CM147">
        <v>0</v>
      </c>
      <c r="CN147" t="s">
        <v>3</v>
      </c>
      <c r="CO147">
        <v>0</v>
      </c>
      <c r="CP147">
        <f t="shared" si="136"/>
        <v>86</v>
      </c>
      <c r="CQ147">
        <f t="shared" si="137"/>
        <v>0</v>
      </c>
      <c r="CR147">
        <f t="shared" si="138"/>
        <v>85.234800000000007</v>
      </c>
      <c r="CS147">
        <f t="shared" si="139"/>
        <v>65.771999999999991</v>
      </c>
      <c r="CT147">
        <f t="shared" si="140"/>
        <v>8536.996799999999</v>
      </c>
      <c r="CU147">
        <f t="shared" si="141"/>
        <v>0</v>
      </c>
      <c r="CV147">
        <f t="shared" si="141"/>
        <v>51.3</v>
      </c>
      <c r="CW147">
        <f t="shared" si="141"/>
        <v>0.26</v>
      </c>
      <c r="CX147">
        <f t="shared" si="141"/>
        <v>0</v>
      </c>
      <c r="CY147">
        <f t="shared" si="142"/>
        <v>44.72</v>
      </c>
      <c r="CZ147">
        <f t="shared" si="143"/>
        <v>38.700000000000003</v>
      </c>
      <c r="DC147" t="s">
        <v>3</v>
      </c>
      <c r="DD147" t="s">
        <v>3</v>
      </c>
      <c r="DE147" t="s">
        <v>3</v>
      </c>
      <c r="DF147" t="s">
        <v>3</v>
      </c>
      <c r="DG147" t="s">
        <v>3</v>
      </c>
      <c r="DH147" t="s">
        <v>3</v>
      </c>
      <c r="DI147" t="s">
        <v>3</v>
      </c>
      <c r="DJ147" t="s">
        <v>3</v>
      </c>
      <c r="DK147" t="s">
        <v>3</v>
      </c>
      <c r="DL147" t="s">
        <v>3</v>
      </c>
      <c r="DM147" t="s">
        <v>3</v>
      </c>
      <c r="DN147">
        <v>0</v>
      </c>
      <c r="DO147">
        <v>0</v>
      </c>
      <c r="DP147">
        <v>1</v>
      </c>
      <c r="DQ147">
        <v>1</v>
      </c>
      <c r="DU147">
        <v>1013</v>
      </c>
      <c r="DV147" t="s">
        <v>71</v>
      </c>
      <c r="DW147" t="s">
        <v>71</v>
      </c>
      <c r="DX147">
        <v>1</v>
      </c>
      <c r="EE147">
        <v>45269263</v>
      </c>
      <c r="EF147">
        <v>6</v>
      </c>
      <c r="EG147" t="s">
        <v>33</v>
      </c>
      <c r="EH147">
        <v>0</v>
      </c>
      <c r="EI147" t="s">
        <v>3</v>
      </c>
      <c r="EJ147">
        <v>1</v>
      </c>
      <c r="EK147">
        <v>65001</v>
      </c>
      <c r="EL147" t="s">
        <v>73</v>
      </c>
      <c r="EM147" t="s">
        <v>74</v>
      </c>
      <c r="EO147" t="s">
        <v>3</v>
      </c>
      <c r="EQ147">
        <v>0</v>
      </c>
      <c r="ER147">
        <v>417.2</v>
      </c>
      <c r="ES147">
        <v>0</v>
      </c>
      <c r="ET147">
        <v>8.34</v>
      </c>
      <c r="EU147">
        <v>3.15</v>
      </c>
      <c r="EV147">
        <v>408.86</v>
      </c>
      <c r="EW147">
        <v>51.3</v>
      </c>
      <c r="EX147">
        <v>0.26</v>
      </c>
      <c r="EY147">
        <v>0</v>
      </c>
      <c r="FQ147">
        <v>0</v>
      </c>
      <c r="FR147">
        <f t="shared" si="144"/>
        <v>0</v>
      </c>
      <c r="FS147">
        <v>0</v>
      </c>
      <c r="FT147" t="s">
        <v>36</v>
      </c>
      <c r="FU147" t="s">
        <v>37</v>
      </c>
      <c r="FX147">
        <v>51.8</v>
      </c>
      <c r="FY147">
        <v>45</v>
      </c>
      <c r="GA147" t="s">
        <v>3</v>
      </c>
      <c r="GD147">
        <v>0</v>
      </c>
      <c r="GF147">
        <v>-1832059915</v>
      </c>
      <c r="GG147">
        <v>2</v>
      </c>
      <c r="GH147">
        <v>1</v>
      </c>
      <c r="GI147">
        <v>2</v>
      </c>
      <c r="GJ147">
        <v>0</v>
      </c>
      <c r="GK147">
        <f>ROUND(R147*(R12)/100,0)</f>
        <v>0</v>
      </c>
      <c r="GL147">
        <f t="shared" si="145"/>
        <v>0</v>
      </c>
      <c r="GM147">
        <f t="shared" si="146"/>
        <v>170</v>
      </c>
      <c r="GN147">
        <f t="shared" si="147"/>
        <v>170</v>
      </c>
      <c r="GO147">
        <f t="shared" si="148"/>
        <v>0</v>
      </c>
      <c r="GP147">
        <f t="shared" si="149"/>
        <v>0</v>
      </c>
      <c r="GR147">
        <v>0</v>
      </c>
      <c r="GS147">
        <v>3</v>
      </c>
      <c r="GT147">
        <v>0</v>
      </c>
      <c r="GU147" t="s">
        <v>3</v>
      </c>
      <c r="GV147">
        <f t="shared" si="150"/>
        <v>0</v>
      </c>
      <c r="GW147">
        <v>1</v>
      </c>
      <c r="GX147">
        <f t="shared" si="151"/>
        <v>0</v>
      </c>
      <c r="HA147">
        <v>0</v>
      </c>
      <c r="HB147">
        <v>0</v>
      </c>
      <c r="IK147">
        <v>0</v>
      </c>
    </row>
    <row r="148" spans="1:245">
      <c r="A148">
        <v>19</v>
      </c>
      <c r="B148">
        <v>1</v>
      </c>
      <c r="F148" t="s">
        <v>3</v>
      </c>
      <c r="G148" t="s">
        <v>157</v>
      </c>
      <c r="H148" t="s">
        <v>3</v>
      </c>
      <c r="AA148">
        <v>1</v>
      </c>
      <c r="IK148">
        <v>0</v>
      </c>
    </row>
    <row r="149" spans="1:245">
      <c r="A149">
        <v>17</v>
      </c>
      <c r="B149">
        <v>1</v>
      </c>
      <c r="C149">
        <f>ROW(SmtRes!A264)</f>
        <v>264</v>
      </c>
      <c r="D149">
        <f>ROW(EtalonRes!A265)</f>
        <v>265</v>
      </c>
      <c r="E149" t="s">
        <v>321</v>
      </c>
      <c r="F149" t="s">
        <v>322</v>
      </c>
      <c r="G149" t="s">
        <v>323</v>
      </c>
      <c r="H149" t="s">
        <v>180</v>
      </c>
      <c r="I149">
        <f>ROUND(40.9/100,9)</f>
        <v>0.40899999999999997</v>
      </c>
      <c r="J149">
        <v>0</v>
      </c>
      <c r="O149">
        <f t="shared" ref="O149:O170" si="152">ROUND(CP149,0)</f>
        <v>13575</v>
      </c>
      <c r="P149">
        <f t="shared" ref="P149:P170" si="153">ROUND(CQ149*I149,0)</f>
        <v>8985</v>
      </c>
      <c r="Q149">
        <f t="shared" ref="Q149:Q170" si="154">ROUND(CR149*I149,0)</f>
        <v>218</v>
      </c>
      <c r="R149">
        <f t="shared" ref="R149:R170" si="155">ROUND(CS149*I149,0)</f>
        <v>185</v>
      </c>
      <c r="S149">
        <f t="shared" ref="S149:S170" si="156">ROUND(CT149*I149,0)</f>
        <v>4372</v>
      </c>
      <c r="T149">
        <f t="shared" ref="T149:T170" si="157">ROUND(CU149*I149,0)</f>
        <v>0</v>
      </c>
      <c r="U149">
        <f t="shared" ref="U149:U170" si="158">CV149*I149</f>
        <v>24.406461499999999</v>
      </c>
      <c r="V149">
        <f t="shared" ref="V149:V170" si="159">CW149*I149</f>
        <v>0.9560375000000001</v>
      </c>
      <c r="W149">
        <f t="shared" ref="W149:W170" si="160">ROUND(CX149*I149,0)</f>
        <v>0</v>
      </c>
      <c r="X149">
        <f t="shared" ref="X149:X170" si="161">ROUND(CY149,0)</f>
        <v>3008</v>
      </c>
      <c r="Y149">
        <f t="shared" ref="Y149:Y170" si="162">ROUND(CZ149,0)</f>
        <v>1914</v>
      </c>
      <c r="AA149">
        <v>48370320</v>
      </c>
      <c r="AB149">
        <f t="shared" ref="AB149:AB170" si="163">ROUND((AC149+AD149+AF149),2)</f>
        <v>3009.33</v>
      </c>
      <c r="AC149">
        <f>ROUND((ES149),2)</f>
        <v>2462.92</v>
      </c>
      <c r="AD149">
        <f>ROUND(((((ET149*1.25))-((EU149*1.25)))+AE149),2)</f>
        <v>34.409999999999997</v>
      </c>
      <c r="AE149">
        <f>ROUND(((EU149*1.25)),2)</f>
        <v>21.66</v>
      </c>
      <c r="AF149">
        <f>ROUND(((EV149*1.15)),2)</f>
        <v>512</v>
      </c>
      <c r="AG149">
        <f t="shared" ref="AG149:AG170" si="164">ROUND((AP149),2)</f>
        <v>0</v>
      </c>
      <c r="AH149">
        <f>((EW149*1.15))</f>
        <v>59.673499999999997</v>
      </c>
      <c r="AI149">
        <f>((EX149*1.25))</f>
        <v>2.3375000000000004</v>
      </c>
      <c r="AJ149">
        <f t="shared" ref="AJ149:AJ170" si="165">ROUND((AS149),2)</f>
        <v>0</v>
      </c>
      <c r="AK149">
        <v>2935.67</v>
      </c>
      <c r="AL149">
        <v>2462.92</v>
      </c>
      <c r="AM149">
        <v>27.53</v>
      </c>
      <c r="AN149">
        <v>17.329999999999998</v>
      </c>
      <c r="AO149">
        <v>445.22</v>
      </c>
      <c r="AP149">
        <v>0</v>
      </c>
      <c r="AQ149">
        <v>51.89</v>
      </c>
      <c r="AR149">
        <v>1.87</v>
      </c>
      <c r="AS149">
        <v>0</v>
      </c>
      <c r="AT149">
        <v>66</v>
      </c>
      <c r="AU149">
        <v>42</v>
      </c>
      <c r="AV149">
        <v>1</v>
      </c>
      <c r="AW149">
        <v>1</v>
      </c>
      <c r="AZ149">
        <v>1</v>
      </c>
      <c r="BA149">
        <v>20.88</v>
      </c>
      <c r="BB149">
        <v>15.51</v>
      </c>
      <c r="BC149">
        <v>8.92</v>
      </c>
      <c r="BD149" t="s">
        <v>3</v>
      </c>
      <c r="BE149" t="s">
        <v>3</v>
      </c>
      <c r="BF149" t="s">
        <v>3</v>
      </c>
      <c r="BG149" t="s">
        <v>3</v>
      </c>
      <c r="BH149">
        <v>0</v>
      </c>
      <c r="BI149">
        <v>1</v>
      </c>
      <c r="BJ149" t="s">
        <v>324</v>
      </c>
      <c r="BM149">
        <v>15001</v>
      </c>
      <c r="BN149">
        <v>0</v>
      </c>
      <c r="BO149" t="s">
        <v>322</v>
      </c>
      <c r="BP149">
        <v>1</v>
      </c>
      <c r="BQ149">
        <v>2</v>
      </c>
      <c r="BR149">
        <v>0</v>
      </c>
      <c r="BS149">
        <v>20.88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3</v>
      </c>
      <c r="BZ149">
        <v>105</v>
      </c>
      <c r="CA149">
        <v>55</v>
      </c>
      <c r="CF149">
        <v>0</v>
      </c>
      <c r="CG149">
        <v>0</v>
      </c>
      <c r="CM149">
        <v>0</v>
      </c>
      <c r="CN149" t="s">
        <v>937</v>
      </c>
      <c r="CO149">
        <v>0</v>
      </c>
      <c r="CP149">
        <f t="shared" ref="CP149:CP170" si="166">(P149+Q149+S149)</f>
        <v>13575</v>
      </c>
      <c r="CQ149">
        <f t="shared" ref="CQ149:CQ170" si="167">AC149*BC149</f>
        <v>21969.2464</v>
      </c>
      <c r="CR149">
        <f t="shared" ref="CR149:CR170" si="168">AD149*BB149</f>
        <v>533.69909999999993</v>
      </c>
      <c r="CS149">
        <f t="shared" ref="CS149:CS170" si="169">AE149*BS149</f>
        <v>452.26079999999996</v>
      </c>
      <c r="CT149">
        <f t="shared" ref="CT149:CT170" si="170">AF149*BA149</f>
        <v>10690.56</v>
      </c>
      <c r="CU149">
        <f t="shared" ref="CU149:CU170" si="171">AG149</f>
        <v>0</v>
      </c>
      <c r="CV149">
        <f t="shared" ref="CV149:CV170" si="172">AH149</f>
        <v>59.673499999999997</v>
      </c>
      <c r="CW149">
        <f t="shared" ref="CW149:CW170" si="173">AI149</f>
        <v>2.3375000000000004</v>
      </c>
      <c r="CX149">
        <f t="shared" ref="CX149:CX170" si="174">AJ149</f>
        <v>0</v>
      </c>
      <c r="CY149">
        <f t="shared" ref="CY149:CY170" si="175">(((S149+R149)*AT149)/100)</f>
        <v>3007.62</v>
      </c>
      <c r="CZ149">
        <f t="shared" ref="CZ149:CZ170" si="176">(((S149+R149)*AU149)/100)</f>
        <v>1913.94</v>
      </c>
      <c r="DC149" t="s">
        <v>3</v>
      </c>
      <c r="DD149" t="s">
        <v>3</v>
      </c>
      <c r="DE149" t="s">
        <v>160</v>
      </c>
      <c r="DF149" t="s">
        <v>160</v>
      </c>
      <c r="DG149" t="s">
        <v>161</v>
      </c>
      <c r="DH149" t="s">
        <v>3</v>
      </c>
      <c r="DI149" t="s">
        <v>161</v>
      </c>
      <c r="DJ149" t="s">
        <v>160</v>
      </c>
      <c r="DK149" t="s">
        <v>3</v>
      </c>
      <c r="DL149" t="s">
        <v>3</v>
      </c>
      <c r="DM149" t="s">
        <v>3</v>
      </c>
      <c r="DN149">
        <v>0</v>
      </c>
      <c r="DO149">
        <v>0</v>
      </c>
      <c r="DP149">
        <v>1</v>
      </c>
      <c r="DQ149">
        <v>1</v>
      </c>
      <c r="DU149">
        <v>1013</v>
      </c>
      <c r="DV149" t="s">
        <v>180</v>
      </c>
      <c r="DW149" t="s">
        <v>180</v>
      </c>
      <c r="DX149">
        <v>1</v>
      </c>
      <c r="EE149">
        <v>45269202</v>
      </c>
      <c r="EF149">
        <v>2</v>
      </c>
      <c r="EG149" t="s">
        <v>19</v>
      </c>
      <c r="EH149">
        <v>0</v>
      </c>
      <c r="EI149" t="s">
        <v>3</v>
      </c>
      <c r="EJ149">
        <v>1</v>
      </c>
      <c r="EK149">
        <v>15001</v>
      </c>
      <c r="EL149" t="s">
        <v>157</v>
      </c>
      <c r="EM149" t="s">
        <v>168</v>
      </c>
      <c r="EO149" t="s">
        <v>162</v>
      </c>
      <c r="EQ149">
        <v>0</v>
      </c>
      <c r="ER149">
        <v>2935.67</v>
      </c>
      <c r="ES149">
        <v>2462.92</v>
      </c>
      <c r="ET149">
        <v>27.53</v>
      </c>
      <c r="EU149">
        <v>17.329999999999998</v>
      </c>
      <c r="EV149">
        <v>445.22</v>
      </c>
      <c r="EW149">
        <v>51.89</v>
      </c>
      <c r="EX149">
        <v>1.87</v>
      </c>
      <c r="EY149">
        <v>0</v>
      </c>
      <c r="FQ149">
        <v>0</v>
      </c>
      <c r="FR149">
        <f t="shared" ref="FR149:FR170" si="177">ROUND(IF(AND(BH149=3,BI149=3),P149,0),0)</f>
        <v>0</v>
      </c>
      <c r="FS149">
        <v>0</v>
      </c>
      <c r="FT149" t="s">
        <v>22</v>
      </c>
      <c r="FU149" t="s">
        <v>23</v>
      </c>
      <c r="FX149">
        <v>66.150000000000006</v>
      </c>
      <c r="FY149">
        <v>42.075000000000003</v>
      </c>
      <c r="GA149" t="s">
        <v>3</v>
      </c>
      <c r="GD149">
        <v>0</v>
      </c>
      <c r="GF149">
        <v>765649039</v>
      </c>
      <c r="GG149">
        <v>2</v>
      </c>
      <c r="GH149">
        <v>1</v>
      </c>
      <c r="GI149">
        <v>2</v>
      </c>
      <c r="GJ149">
        <v>0</v>
      </c>
      <c r="GK149">
        <f>ROUND(R149*(R12)/100,0)</f>
        <v>0</v>
      </c>
      <c r="GL149">
        <f t="shared" ref="GL149:GL170" si="178">ROUND(IF(AND(BH149=3,BI149=3,FS149&lt;&gt;0),P149,0),0)</f>
        <v>0</v>
      </c>
      <c r="GM149">
        <f t="shared" ref="GM149:GM170" si="179">ROUND(O149+X149+Y149+GK149,0)+GX149</f>
        <v>18497</v>
      </c>
      <c r="GN149">
        <f t="shared" ref="GN149:GN170" si="180">IF(OR(BI149=0,BI149=1),ROUND(O149+X149+Y149+GK149,0),0)</f>
        <v>18497</v>
      </c>
      <c r="GO149">
        <f t="shared" ref="GO149:GO170" si="181">IF(BI149=2,ROUND(O149+X149+Y149+GK149,0),0)</f>
        <v>0</v>
      </c>
      <c r="GP149">
        <f t="shared" ref="GP149:GP170" si="182">IF(BI149=4,ROUND(O149+X149+Y149+GK149,0)+GX149,0)</f>
        <v>0</v>
      </c>
      <c r="GR149">
        <v>0</v>
      </c>
      <c r="GS149">
        <v>3</v>
      </c>
      <c r="GT149">
        <v>0</v>
      </c>
      <c r="GU149" t="s">
        <v>3</v>
      </c>
      <c r="GV149">
        <f t="shared" ref="GV149:GV170" si="183">ROUND(GT149,2)</f>
        <v>0</v>
      </c>
      <c r="GW149">
        <v>1</v>
      </c>
      <c r="GX149">
        <f t="shared" ref="GX149:GX170" si="184">ROUND(GV149*GW149*I149,0)</f>
        <v>0</v>
      </c>
      <c r="HA149">
        <v>0</v>
      </c>
      <c r="HB149">
        <v>0</v>
      </c>
      <c r="IK149">
        <v>0</v>
      </c>
    </row>
    <row r="150" spans="1:245">
      <c r="A150">
        <v>17</v>
      </c>
      <c r="B150">
        <v>1</v>
      </c>
      <c r="C150">
        <f>ROW(SmtRes!A272)</f>
        <v>272</v>
      </c>
      <c r="D150">
        <f>ROW(EtalonRes!A273)</f>
        <v>273</v>
      </c>
      <c r="E150" t="s">
        <v>325</v>
      </c>
      <c r="F150" t="s">
        <v>326</v>
      </c>
      <c r="G150" t="s">
        <v>327</v>
      </c>
      <c r="H150" t="s">
        <v>180</v>
      </c>
      <c r="I150">
        <f>ROUND(35.18/100,9)</f>
        <v>0.3518</v>
      </c>
      <c r="J150">
        <v>0</v>
      </c>
      <c r="O150">
        <f t="shared" si="152"/>
        <v>14098</v>
      </c>
      <c r="P150">
        <f t="shared" si="153"/>
        <v>9012</v>
      </c>
      <c r="Q150">
        <f t="shared" si="154"/>
        <v>219</v>
      </c>
      <c r="R150">
        <f t="shared" si="155"/>
        <v>185</v>
      </c>
      <c r="S150">
        <f t="shared" si="156"/>
        <v>4867</v>
      </c>
      <c r="T150">
        <f t="shared" si="157"/>
        <v>0</v>
      </c>
      <c r="U150">
        <f t="shared" si="158"/>
        <v>25.528366999999999</v>
      </c>
      <c r="V150">
        <f t="shared" si="159"/>
        <v>0.95865500000000003</v>
      </c>
      <c r="W150">
        <f t="shared" si="160"/>
        <v>0</v>
      </c>
      <c r="X150">
        <f t="shared" si="161"/>
        <v>3334</v>
      </c>
      <c r="Y150">
        <f t="shared" si="162"/>
        <v>2122</v>
      </c>
      <c r="AA150">
        <v>48370320</v>
      </c>
      <c r="AB150">
        <f t="shared" si="163"/>
        <v>3574.52</v>
      </c>
      <c r="AC150">
        <f>ROUND((ES150),2)</f>
        <v>2871.73</v>
      </c>
      <c r="AD150">
        <f>ROUND(((((ET150*1.25))-((EU150*1.25)))+AE150),2)</f>
        <v>40.270000000000003</v>
      </c>
      <c r="AE150">
        <f>ROUND(((EU150*1.25)),2)</f>
        <v>25.24</v>
      </c>
      <c r="AF150">
        <f>ROUND(((EV150*1.15)),2)</f>
        <v>662.52</v>
      </c>
      <c r="AG150">
        <f t="shared" si="164"/>
        <v>0</v>
      </c>
      <c r="AH150">
        <f>((EW150*1.15))</f>
        <v>72.564999999999998</v>
      </c>
      <c r="AI150">
        <f>((EX150*1.25))</f>
        <v>2.7250000000000001</v>
      </c>
      <c r="AJ150">
        <f t="shared" si="165"/>
        <v>0</v>
      </c>
      <c r="AK150">
        <v>3480.04</v>
      </c>
      <c r="AL150">
        <v>2871.73</v>
      </c>
      <c r="AM150">
        <v>32.21</v>
      </c>
      <c r="AN150">
        <v>20.190000000000001</v>
      </c>
      <c r="AO150">
        <v>576.1</v>
      </c>
      <c r="AP150">
        <v>0</v>
      </c>
      <c r="AQ150">
        <v>63.1</v>
      </c>
      <c r="AR150">
        <v>2.1800000000000002</v>
      </c>
      <c r="AS150">
        <v>0</v>
      </c>
      <c r="AT150">
        <v>66</v>
      </c>
      <c r="AU150">
        <v>42</v>
      </c>
      <c r="AV150">
        <v>1</v>
      </c>
      <c r="AW150">
        <v>1</v>
      </c>
      <c r="AZ150">
        <v>1</v>
      </c>
      <c r="BA150">
        <v>20.88</v>
      </c>
      <c r="BB150">
        <v>15.48</v>
      </c>
      <c r="BC150">
        <v>8.92</v>
      </c>
      <c r="BD150" t="s">
        <v>3</v>
      </c>
      <c r="BE150" t="s">
        <v>3</v>
      </c>
      <c r="BF150" t="s">
        <v>3</v>
      </c>
      <c r="BG150" t="s">
        <v>3</v>
      </c>
      <c r="BH150">
        <v>0</v>
      </c>
      <c r="BI150">
        <v>1</v>
      </c>
      <c r="BJ150" t="s">
        <v>328</v>
      </c>
      <c r="BM150">
        <v>15001</v>
      </c>
      <c r="BN150">
        <v>0</v>
      </c>
      <c r="BO150" t="s">
        <v>326</v>
      </c>
      <c r="BP150">
        <v>1</v>
      </c>
      <c r="BQ150">
        <v>2</v>
      </c>
      <c r="BR150">
        <v>0</v>
      </c>
      <c r="BS150">
        <v>20.88</v>
      </c>
      <c r="BT150">
        <v>1</v>
      </c>
      <c r="BU150">
        <v>1</v>
      </c>
      <c r="BV150">
        <v>1</v>
      </c>
      <c r="BW150">
        <v>1</v>
      </c>
      <c r="BX150">
        <v>1</v>
      </c>
      <c r="BY150" t="s">
        <v>3</v>
      </c>
      <c r="BZ150">
        <v>105</v>
      </c>
      <c r="CA150">
        <v>55</v>
      </c>
      <c r="CF150">
        <v>0</v>
      </c>
      <c r="CG150">
        <v>0</v>
      </c>
      <c r="CM150">
        <v>0</v>
      </c>
      <c r="CN150" t="s">
        <v>937</v>
      </c>
      <c r="CO150">
        <v>0</v>
      </c>
      <c r="CP150">
        <f t="shared" si="166"/>
        <v>14098</v>
      </c>
      <c r="CQ150">
        <f t="shared" si="167"/>
        <v>25615.831600000001</v>
      </c>
      <c r="CR150">
        <f t="shared" si="168"/>
        <v>623.3796000000001</v>
      </c>
      <c r="CS150">
        <f t="shared" si="169"/>
        <v>527.01119999999992</v>
      </c>
      <c r="CT150">
        <f t="shared" si="170"/>
        <v>13833.417599999999</v>
      </c>
      <c r="CU150">
        <f t="shared" si="171"/>
        <v>0</v>
      </c>
      <c r="CV150">
        <f t="shared" si="172"/>
        <v>72.564999999999998</v>
      </c>
      <c r="CW150">
        <f t="shared" si="173"/>
        <v>2.7250000000000001</v>
      </c>
      <c r="CX150">
        <f t="shared" si="174"/>
        <v>0</v>
      </c>
      <c r="CY150">
        <f t="shared" si="175"/>
        <v>3334.32</v>
      </c>
      <c r="CZ150">
        <f t="shared" si="176"/>
        <v>2121.84</v>
      </c>
      <c r="DC150" t="s">
        <v>3</v>
      </c>
      <c r="DD150" t="s">
        <v>3</v>
      </c>
      <c r="DE150" t="s">
        <v>160</v>
      </c>
      <c r="DF150" t="s">
        <v>160</v>
      </c>
      <c r="DG150" t="s">
        <v>161</v>
      </c>
      <c r="DH150" t="s">
        <v>3</v>
      </c>
      <c r="DI150" t="s">
        <v>161</v>
      </c>
      <c r="DJ150" t="s">
        <v>160</v>
      </c>
      <c r="DK150" t="s">
        <v>3</v>
      </c>
      <c r="DL150" t="s">
        <v>3</v>
      </c>
      <c r="DM150" t="s">
        <v>3</v>
      </c>
      <c r="DN150">
        <v>0</v>
      </c>
      <c r="DO150">
        <v>0</v>
      </c>
      <c r="DP150">
        <v>1</v>
      </c>
      <c r="DQ150">
        <v>1</v>
      </c>
      <c r="DU150">
        <v>1013</v>
      </c>
      <c r="DV150" t="s">
        <v>180</v>
      </c>
      <c r="DW150" t="s">
        <v>180</v>
      </c>
      <c r="DX150">
        <v>1</v>
      </c>
      <c r="EE150">
        <v>45269202</v>
      </c>
      <c r="EF150">
        <v>2</v>
      </c>
      <c r="EG150" t="s">
        <v>19</v>
      </c>
      <c r="EH150">
        <v>0</v>
      </c>
      <c r="EI150" t="s">
        <v>3</v>
      </c>
      <c r="EJ150">
        <v>1</v>
      </c>
      <c r="EK150">
        <v>15001</v>
      </c>
      <c r="EL150" t="s">
        <v>157</v>
      </c>
      <c r="EM150" t="s">
        <v>168</v>
      </c>
      <c r="EO150" t="s">
        <v>162</v>
      </c>
      <c r="EQ150">
        <v>0</v>
      </c>
      <c r="ER150">
        <v>3480.04</v>
      </c>
      <c r="ES150">
        <v>2871.73</v>
      </c>
      <c r="ET150">
        <v>32.21</v>
      </c>
      <c r="EU150">
        <v>20.190000000000001</v>
      </c>
      <c r="EV150">
        <v>576.1</v>
      </c>
      <c r="EW150">
        <v>63.1</v>
      </c>
      <c r="EX150">
        <v>2.1800000000000002</v>
      </c>
      <c r="EY150">
        <v>0</v>
      </c>
      <c r="FQ150">
        <v>0</v>
      </c>
      <c r="FR150">
        <f t="shared" si="177"/>
        <v>0</v>
      </c>
      <c r="FS150">
        <v>0</v>
      </c>
      <c r="FT150" t="s">
        <v>22</v>
      </c>
      <c r="FU150" t="s">
        <v>23</v>
      </c>
      <c r="FX150">
        <v>66.150000000000006</v>
      </c>
      <c r="FY150">
        <v>42.075000000000003</v>
      </c>
      <c r="GA150" t="s">
        <v>3</v>
      </c>
      <c r="GD150">
        <v>0</v>
      </c>
      <c r="GF150">
        <v>361178564</v>
      </c>
      <c r="GG150">
        <v>2</v>
      </c>
      <c r="GH150">
        <v>1</v>
      </c>
      <c r="GI150">
        <v>2</v>
      </c>
      <c r="GJ150">
        <v>0</v>
      </c>
      <c r="GK150">
        <f>ROUND(R150*(R12)/100,0)</f>
        <v>0</v>
      </c>
      <c r="GL150">
        <f t="shared" si="178"/>
        <v>0</v>
      </c>
      <c r="GM150">
        <f t="shared" si="179"/>
        <v>19554</v>
      </c>
      <c r="GN150">
        <f t="shared" si="180"/>
        <v>19554</v>
      </c>
      <c r="GO150">
        <f t="shared" si="181"/>
        <v>0</v>
      </c>
      <c r="GP150">
        <f t="shared" si="182"/>
        <v>0</v>
      </c>
      <c r="GR150">
        <v>0</v>
      </c>
      <c r="GS150">
        <v>3</v>
      </c>
      <c r="GT150">
        <v>0</v>
      </c>
      <c r="GU150" t="s">
        <v>3</v>
      </c>
      <c r="GV150">
        <f t="shared" si="183"/>
        <v>0</v>
      </c>
      <c r="GW150">
        <v>1</v>
      </c>
      <c r="GX150">
        <f t="shared" si="184"/>
        <v>0</v>
      </c>
      <c r="HA150">
        <v>0</v>
      </c>
      <c r="HB150">
        <v>0</v>
      </c>
      <c r="IK150">
        <v>0</v>
      </c>
    </row>
    <row r="151" spans="1:245">
      <c r="A151">
        <v>17</v>
      </c>
      <c r="B151">
        <v>1</v>
      </c>
      <c r="C151">
        <f>ROW(SmtRes!A280)</f>
        <v>280</v>
      </c>
      <c r="D151">
        <f>ROW(EtalonRes!A281)</f>
        <v>281</v>
      </c>
      <c r="E151" t="s">
        <v>329</v>
      </c>
      <c r="F151" t="s">
        <v>330</v>
      </c>
      <c r="G151" t="s">
        <v>331</v>
      </c>
      <c r="H151" t="s">
        <v>332</v>
      </c>
      <c r="I151">
        <f>ROUND(40.9/100,9)</f>
        <v>0.40899999999999997</v>
      </c>
      <c r="J151">
        <v>0</v>
      </c>
      <c r="O151">
        <f t="shared" si="152"/>
        <v>6624</v>
      </c>
      <c r="P151">
        <f t="shared" si="153"/>
        <v>3025</v>
      </c>
      <c r="Q151">
        <f t="shared" si="154"/>
        <v>68</v>
      </c>
      <c r="R151">
        <f t="shared" si="155"/>
        <v>3</v>
      </c>
      <c r="S151">
        <f t="shared" si="156"/>
        <v>3531</v>
      </c>
      <c r="T151">
        <f t="shared" si="157"/>
        <v>0</v>
      </c>
      <c r="U151">
        <f t="shared" si="158"/>
        <v>20.178014999999995</v>
      </c>
      <c r="V151">
        <f t="shared" si="159"/>
        <v>1.0225E-2</v>
      </c>
      <c r="W151">
        <f t="shared" si="160"/>
        <v>0</v>
      </c>
      <c r="X151">
        <f t="shared" si="161"/>
        <v>2332</v>
      </c>
      <c r="Y151">
        <f t="shared" si="162"/>
        <v>1484</v>
      </c>
      <c r="AA151">
        <v>48370320</v>
      </c>
      <c r="AB151">
        <f t="shared" si="163"/>
        <v>1687.05</v>
      </c>
      <c r="AC151">
        <f>ROUND((ES151),2)</f>
        <v>1255.6099999999999</v>
      </c>
      <c r="AD151">
        <f>ROUND(((((ET151*1.25))-((EU151*1.25)))+AE151),2)</f>
        <v>18.010000000000002</v>
      </c>
      <c r="AE151">
        <f>ROUND(((EU151*1.25)),2)</f>
        <v>0.3</v>
      </c>
      <c r="AF151">
        <f>ROUND(((EV151*1.15)),2)</f>
        <v>413.43</v>
      </c>
      <c r="AG151">
        <f t="shared" si="164"/>
        <v>0</v>
      </c>
      <c r="AH151">
        <f>((EW151*1.15))</f>
        <v>49.334999999999994</v>
      </c>
      <c r="AI151">
        <f>((EX151*1.25))</f>
        <v>2.5000000000000001E-2</v>
      </c>
      <c r="AJ151">
        <f t="shared" si="165"/>
        <v>0</v>
      </c>
      <c r="AK151">
        <v>1629.52</v>
      </c>
      <c r="AL151">
        <v>1255.6099999999999</v>
      </c>
      <c r="AM151">
        <v>14.41</v>
      </c>
      <c r="AN151">
        <v>0.24</v>
      </c>
      <c r="AO151">
        <v>359.5</v>
      </c>
      <c r="AP151">
        <v>0</v>
      </c>
      <c r="AQ151">
        <v>42.9</v>
      </c>
      <c r="AR151">
        <v>0.02</v>
      </c>
      <c r="AS151">
        <v>0</v>
      </c>
      <c r="AT151">
        <v>66</v>
      </c>
      <c r="AU151">
        <v>42</v>
      </c>
      <c r="AV151">
        <v>1</v>
      </c>
      <c r="AW151">
        <v>1</v>
      </c>
      <c r="AZ151">
        <v>1</v>
      </c>
      <c r="BA151">
        <v>20.88</v>
      </c>
      <c r="BB151">
        <v>9.24</v>
      </c>
      <c r="BC151">
        <v>5.89</v>
      </c>
      <c r="BD151" t="s">
        <v>3</v>
      </c>
      <c r="BE151" t="s">
        <v>3</v>
      </c>
      <c r="BF151" t="s">
        <v>3</v>
      </c>
      <c r="BG151" t="s">
        <v>3</v>
      </c>
      <c r="BH151">
        <v>0</v>
      </c>
      <c r="BI151">
        <v>1</v>
      </c>
      <c r="BJ151" t="s">
        <v>333</v>
      </c>
      <c r="BM151">
        <v>15001</v>
      </c>
      <c r="BN151">
        <v>0</v>
      </c>
      <c r="BO151" t="s">
        <v>330</v>
      </c>
      <c r="BP151">
        <v>1</v>
      </c>
      <c r="BQ151">
        <v>2</v>
      </c>
      <c r="BR151">
        <v>0</v>
      </c>
      <c r="BS151">
        <v>20.88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3</v>
      </c>
      <c r="BZ151">
        <v>105</v>
      </c>
      <c r="CA151">
        <v>55</v>
      </c>
      <c r="CF151">
        <v>0</v>
      </c>
      <c r="CG151">
        <v>0</v>
      </c>
      <c r="CM151">
        <v>0</v>
      </c>
      <c r="CN151" t="s">
        <v>937</v>
      </c>
      <c r="CO151">
        <v>0</v>
      </c>
      <c r="CP151">
        <f t="shared" si="166"/>
        <v>6624</v>
      </c>
      <c r="CQ151">
        <f t="shared" si="167"/>
        <v>7395.5428999999995</v>
      </c>
      <c r="CR151">
        <f t="shared" si="168"/>
        <v>166.41240000000002</v>
      </c>
      <c r="CS151">
        <f t="shared" si="169"/>
        <v>6.2639999999999993</v>
      </c>
      <c r="CT151">
        <f t="shared" si="170"/>
        <v>8632.4184000000005</v>
      </c>
      <c r="CU151">
        <f t="shared" si="171"/>
        <v>0</v>
      </c>
      <c r="CV151">
        <f t="shared" si="172"/>
        <v>49.334999999999994</v>
      </c>
      <c r="CW151">
        <f t="shared" si="173"/>
        <v>2.5000000000000001E-2</v>
      </c>
      <c r="CX151">
        <f t="shared" si="174"/>
        <v>0</v>
      </c>
      <c r="CY151">
        <f t="shared" si="175"/>
        <v>2332.44</v>
      </c>
      <c r="CZ151">
        <f t="shared" si="176"/>
        <v>1484.28</v>
      </c>
      <c r="DC151" t="s">
        <v>3</v>
      </c>
      <c r="DD151" t="s">
        <v>3</v>
      </c>
      <c r="DE151" t="s">
        <v>160</v>
      </c>
      <c r="DF151" t="s">
        <v>160</v>
      </c>
      <c r="DG151" t="s">
        <v>161</v>
      </c>
      <c r="DH151" t="s">
        <v>3</v>
      </c>
      <c r="DI151" t="s">
        <v>161</v>
      </c>
      <c r="DJ151" t="s">
        <v>160</v>
      </c>
      <c r="DK151" t="s">
        <v>3</v>
      </c>
      <c r="DL151" t="s">
        <v>3</v>
      </c>
      <c r="DM151" t="s">
        <v>3</v>
      </c>
      <c r="DN151">
        <v>0</v>
      </c>
      <c r="DO151">
        <v>0</v>
      </c>
      <c r="DP151">
        <v>1</v>
      </c>
      <c r="DQ151">
        <v>1</v>
      </c>
      <c r="DU151">
        <v>1005</v>
      </c>
      <c r="DV151" t="s">
        <v>332</v>
      </c>
      <c r="DW151" t="s">
        <v>332</v>
      </c>
      <c r="DX151">
        <v>100</v>
      </c>
      <c r="EE151">
        <v>45269202</v>
      </c>
      <c r="EF151">
        <v>2</v>
      </c>
      <c r="EG151" t="s">
        <v>19</v>
      </c>
      <c r="EH151">
        <v>0</v>
      </c>
      <c r="EI151" t="s">
        <v>3</v>
      </c>
      <c r="EJ151">
        <v>1</v>
      </c>
      <c r="EK151">
        <v>15001</v>
      </c>
      <c r="EL151" t="s">
        <v>157</v>
      </c>
      <c r="EM151" t="s">
        <v>168</v>
      </c>
      <c r="EO151" t="s">
        <v>162</v>
      </c>
      <c r="EQ151">
        <v>0</v>
      </c>
      <c r="ER151">
        <v>1629.52</v>
      </c>
      <c r="ES151">
        <v>1255.6099999999999</v>
      </c>
      <c r="ET151">
        <v>14.41</v>
      </c>
      <c r="EU151">
        <v>0.24</v>
      </c>
      <c r="EV151">
        <v>359.5</v>
      </c>
      <c r="EW151">
        <v>42.9</v>
      </c>
      <c r="EX151">
        <v>0.02</v>
      </c>
      <c r="EY151">
        <v>0</v>
      </c>
      <c r="FQ151">
        <v>0</v>
      </c>
      <c r="FR151">
        <f t="shared" si="177"/>
        <v>0</v>
      </c>
      <c r="FS151">
        <v>0</v>
      </c>
      <c r="FT151" t="s">
        <v>22</v>
      </c>
      <c r="FU151" t="s">
        <v>23</v>
      </c>
      <c r="FX151">
        <v>66.150000000000006</v>
      </c>
      <c r="FY151">
        <v>42.075000000000003</v>
      </c>
      <c r="GA151" t="s">
        <v>3</v>
      </c>
      <c r="GD151">
        <v>0</v>
      </c>
      <c r="GF151">
        <v>937980519</v>
      </c>
      <c r="GG151">
        <v>2</v>
      </c>
      <c r="GH151">
        <v>1</v>
      </c>
      <c r="GI151">
        <v>2</v>
      </c>
      <c r="GJ151">
        <v>0</v>
      </c>
      <c r="GK151">
        <f>ROUND(R151*(R12)/100,0)</f>
        <v>0</v>
      </c>
      <c r="GL151">
        <f t="shared" si="178"/>
        <v>0</v>
      </c>
      <c r="GM151">
        <f t="shared" si="179"/>
        <v>10440</v>
      </c>
      <c r="GN151">
        <f t="shared" si="180"/>
        <v>10440</v>
      </c>
      <c r="GO151">
        <f t="shared" si="181"/>
        <v>0</v>
      </c>
      <c r="GP151">
        <f t="shared" si="182"/>
        <v>0</v>
      </c>
      <c r="GR151">
        <v>0</v>
      </c>
      <c r="GS151">
        <v>3</v>
      </c>
      <c r="GT151">
        <v>0</v>
      </c>
      <c r="GU151" t="s">
        <v>3</v>
      </c>
      <c r="GV151">
        <f t="shared" si="183"/>
        <v>0</v>
      </c>
      <c r="GW151">
        <v>1</v>
      </c>
      <c r="GX151">
        <f t="shared" si="184"/>
        <v>0</v>
      </c>
      <c r="HA151">
        <v>0</v>
      </c>
      <c r="HB151">
        <v>0</v>
      </c>
      <c r="IK151">
        <v>0</v>
      </c>
    </row>
    <row r="152" spans="1:245">
      <c r="A152">
        <v>17</v>
      </c>
      <c r="B152">
        <v>1</v>
      </c>
      <c r="C152">
        <f>ROW(SmtRes!A288)</f>
        <v>288</v>
      </c>
      <c r="D152">
        <f>ROW(EtalonRes!A289)</f>
        <v>289</v>
      </c>
      <c r="E152" t="s">
        <v>334</v>
      </c>
      <c r="F152" t="s">
        <v>335</v>
      </c>
      <c r="G152" t="s">
        <v>336</v>
      </c>
      <c r="H152" t="s">
        <v>332</v>
      </c>
      <c r="I152">
        <f>ROUND(35.18/100,9)</f>
        <v>0.3518</v>
      </c>
      <c r="J152">
        <v>0</v>
      </c>
      <c r="O152">
        <f t="shared" si="152"/>
        <v>6713</v>
      </c>
      <c r="P152">
        <f t="shared" si="153"/>
        <v>2835</v>
      </c>
      <c r="Q152">
        <f t="shared" si="154"/>
        <v>62</v>
      </c>
      <c r="R152">
        <f t="shared" si="155"/>
        <v>2</v>
      </c>
      <c r="S152">
        <f t="shared" si="156"/>
        <v>3816</v>
      </c>
      <c r="T152">
        <f t="shared" si="157"/>
        <v>0</v>
      </c>
      <c r="U152">
        <f t="shared" si="158"/>
        <v>21.806322999999999</v>
      </c>
      <c r="V152">
        <f t="shared" si="159"/>
        <v>8.7950000000000007E-3</v>
      </c>
      <c r="W152">
        <f t="shared" si="160"/>
        <v>0</v>
      </c>
      <c r="X152">
        <f t="shared" si="161"/>
        <v>2520</v>
      </c>
      <c r="Y152">
        <f t="shared" si="162"/>
        <v>1604</v>
      </c>
      <c r="AA152">
        <v>48370320</v>
      </c>
      <c r="AB152">
        <f t="shared" si="163"/>
        <v>1904.25</v>
      </c>
      <c r="AC152">
        <f>ROUND((ES152),2)</f>
        <v>1365.67</v>
      </c>
      <c r="AD152">
        <f>ROUND(((((ET152*1.25))-((EU152*1.25)))+AE152),2)</f>
        <v>19.149999999999999</v>
      </c>
      <c r="AE152">
        <f>ROUND(((EU152*1.25)),2)</f>
        <v>0.3</v>
      </c>
      <c r="AF152">
        <f>ROUND(((EV152*1.15)),2)</f>
        <v>519.42999999999995</v>
      </c>
      <c r="AG152">
        <f t="shared" si="164"/>
        <v>0</v>
      </c>
      <c r="AH152">
        <f>((EW152*1.15))</f>
        <v>61.984999999999992</v>
      </c>
      <c r="AI152">
        <f>((EX152*1.25))</f>
        <v>2.5000000000000001E-2</v>
      </c>
      <c r="AJ152">
        <f t="shared" si="165"/>
        <v>0</v>
      </c>
      <c r="AK152">
        <v>1832.67</v>
      </c>
      <c r="AL152">
        <v>1365.67</v>
      </c>
      <c r="AM152">
        <v>15.32</v>
      </c>
      <c r="AN152">
        <v>0.24</v>
      </c>
      <c r="AO152">
        <v>451.68</v>
      </c>
      <c r="AP152">
        <v>0</v>
      </c>
      <c r="AQ152">
        <v>53.9</v>
      </c>
      <c r="AR152">
        <v>0.02</v>
      </c>
      <c r="AS152">
        <v>0</v>
      </c>
      <c r="AT152">
        <v>66</v>
      </c>
      <c r="AU152">
        <v>42</v>
      </c>
      <c r="AV152">
        <v>1</v>
      </c>
      <c r="AW152">
        <v>1</v>
      </c>
      <c r="AZ152">
        <v>1</v>
      </c>
      <c r="BA152">
        <v>20.88</v>
      </c>
      <c r="BB152">
        <v>9.24</v>
      </c>
      <c r="BC152">
        <v>5.9</v>
      </c>
      <c r="BD152" t="s">
        <v>3</v>
      </c>
      <c r="BE152" t="s">
        <v>3</v>
      </c>
      <c r="BF152" t="s">
        <v>3</v>
      </c>
      <c r="BG152" t="s">
        <v>3</v>
      </c>
      <c r="BH152">
        <v>0</v>
      </c>
      <c r="BI152">
        <v>1</v>
      </c>
      <c r="BJ152" t="s">
        <v>337</v>
      </c>
      <c r="BM152">
        <v>15001</v>
      </c>
      <c r="BN152">
        <v>0</v>
      </c>
      <c r="BO152" t="s">
        <v>335</v>
      </c>
      <c r="BP152">
        <v>1</v>
      </c>
      <c r="BQ152">
        <v>2</v>
      </c>
      <c r="BR152">
        <v>0</v>
      </c>
      <c r="BS152">
        <v>20.88</v>
      </c>
      <c r="BT152">
        <v>1</v>
      </c>
      <c r="BU152">
        <v>1</v>
      </c>
      <c r="BV152">
        <v>1</v>
      </c>
      <c r="BW152">
        <v>1</v>
      </c>
      <c r="BX152">
        <v>1</v>
      </c>
      <c r="BY152" t="s">
        <v>3</v>
      </c>
      <c r="BZ152">
        <v>105</v>
      </c>
      <c r="CA152">
        <v>55</v>
      </c>
      <c r="CF152">
        <v>0</v>
      </c>
      <c r="CG152">
        <v>0</v>
      </c>
      <c r="CM152">
        <v>0</v>
      </c>
      <c r="CN152" t="s">
        <v>937</v>
      </c>
      <c r="CO152">
        <v>0</v>
      </c>
      <c r="CP152">
        <f t="shared" si="166"/>
        <v>6713</v>
      </c>
      <c r="CQ152">
        <f t="shared" si="167"/>
        <v>8057.4530000000013</v>
      </c>
      <c r="CR152">
        <f t="shared" si="168"/>
        <v>176.946</v>
      </c>
      <c r="CS152">
        <f t="shared" si="169"/>
        <v>6.2639999999999993</v>
      </c>
      <c r="CT152">
        <f t="shared" si="170"/>
        <v>10845.698399999999</v>
      </c>
      <c r="CU152">
        <f t="shared" si="171"/>
        <v>0</v>
      </c>
      <c r="CV152">
        <f t="shared" si="172"/>
        <v>61.984999999999992</v>
      </c>
      <c r="CW152">
        <f t="shared" si="173"/>
        <v>2.5000000000000001E-2</v>
      </c>
      <c r="CX152">
        <f t="shared" si="174"/>
        <v>0</v>
      </c>
      <c r="CY152">
        <f t="shared" si="175"/>
        <v>2519.88</v>
      </c>
      <c r="CZ152">
        <f t="shared" si="176"/>
        <v>1603.56</v>
      </c>
      <c r="DC152" t="s">
        <v>3</v>
      </c>
      <c r="DD152" t="s">
        <v>3</v>
      </c>
      <c r="DE152" t="s">
        <v>160</v>
      </c>
      <c r="DF152" t="s">
        <v>160</v>
      </c>
      <c r="DG152" t="s">
        <v>161</v>
      </c>
      <c r="DH152" t="s">
        <v>3</v>
      </c>
      <c r="DI152" t="s">
        <v>161</v>
      </c>
      <c r="DJ152" t="s">
        <v>160</v>
      </c>
      <c r="DK152" t="s">
        <v>3</v>
      </c>
      <c r="DL152" t="s">
        <v>3</v>
      </c>
      <c r="DM152" t="s">
        <v>3</v>
      </c>
      <c r="DN152">
        <v>0</v>
      </c>
      <c r="DO152">
        <v>0</v>
      </c>
      <c r="DP152">
        <v>1</v>
      </c>
      <c r="DQ152">
        <v>1</v>
      </c>
      <c r="DU152">
        <v>1005</v>
      </c>
      <c r="DV152" t="s">
        <v>332</v>
      </c>
      <c r="DW152" t="s">
        <v>332</v>
      </c>
      <c r="DX152">
        <v>100</v>
      </c>
      <c r="EE152">
        <v>45269202</v>
      </c>
      <c r="EF152">
        <v>2</v>
      </c>
      <c r="EG152" t="s">
        <v>19</v>
      </c>
      <c r="EH152">
        <v>0</v>
      </c>
      <c r="EI152" t="s">
        <v>3</v>
      </c>
      <c r="EJ152">
        <v>1</v>
      </c>
      <c r="EK152">
        <v>15001</v>
      </c>
      <c r="EL152" t="s">
        <v>157</v>
      </c>
      <c r="EM152" t="s">
        <v>168</v>
      </c>
      <c r="EO152" t="s">
        <v>162</v>
      </c>
      <c r="EQ152">
        <v>0</v>
      </c>
      <c r="ER152">
        <v>1832.67</v>
      </c>
      <c r="ES152">
        <v>1365.67</v>
      </c>
      <c r="ET152">
        <v>15.32</v>
      </c>
      <c r="EU152">
        <v>0.24</v>
      </c>
      <c r="EV152">
        <v>451.68</v>
      </c>
      <c r="EW152">
        <v>53.9</v>
      </c>
      <c r="EX152">
        <v>0.02</v>
      </c>
      <c r="EY152">
        <v>0</v>
      </c>
      <c r="FQ152">
        <v>0</v>
      </c>
      <c r="FR152">
        <f t="shared" si="177"/>
        <v>0</v>
      </c>
      <c r="FS152">
        <v>0</v>
      </c>
      <c r="FT152" t="s">
        <v>22</v>
      </c>
      <c r="FU152" t="s">
        <v>23</v>
      </c>
      <c r="FX152">
        <v>66.150000000000006</v>
      </c>
      <c r="FY152">
        <v>42.075000000000003</v>
      </c>
      <c r="GA152" t="s">
        <v>3</v>
      </c>
      <c r="GD152">
        <v>0</v>
      </c>
      <c r="GF152">
        <v>-290162909</v>
      </c>
      <c r="GG152">
        <v>2</v>
      </c>
      <c r="GH152">
        <v>1</v>
      </c>
      <c r="GI152">
        <v>2</v>
      </c>
      <c r="GJ152">
        <v>0</v>
      </c>
      <c r="GK152">
        <f>ROUND(R152*(R12)/100,0)</f>
        <v>0</v>
      </c>
      <c r="GL152">
        <f t="shared" si="178"/>
        <v>0</v>
      </c>
      <c r="GM152">
        <f t="shared" si="179"/>
        <v>10837</v>
      </c>
      <c r="GN152">
        <f t="shared" si="180"/>
        <v>10837</v>
      </c>
      <c r="GO152">
        <f t="shared" si="181"/>
        <v>0</v>
      </c>
      <c r="GP152">
        <f t="shared" si="182"/>
        <v>0</v>
      </c>
      <c r="GR152">
        <v>0</v>
      </c>
      <c r="GS152">
        <v>3</v>
      </c>
      <c r="GT152">
        <v>0</v>
      </c>
      <c r="GU152" t="s">
        <v>3</v>
      </c>
      <c r="GV152">
        <f t="shared" si="183"/>
        <v>0</v>
      </c>
      <c r="GW152">
        <v>1</v>
      </c>
      <c r="GX152">
        <f t="shared" si="184"/>
        <v>0</v>
      </c>
      <c r="HA152">
        <v>0</v>
      </c>
      <c r="HB152">
        <v>0</v>
      </c>
      <c r="IK152">
        <v>0</v>
      </c>
    </row>
    <row r="153" spans="1:245">
      <c r="A153">
        <v>17</v>
      </c>
      <c r="B153">
        <v>1</v>
      </c>
      <c r="C153">
        <f>ROW(SmtRes!A294)</f>
        <v>294</v>
      </c>
      <c r="D153">
        <f>ROW(EtalonRes!A295)</f>
        <v>295</v>
      </c>
      <c r="E153" t="s">
        <v>338</v>
      </c>
      <c r="F153" t="s">
        <v>339</v>
      </c>
      <c r="G153" t="s">
        <v>340</v>
      </c>
      <c r="H153" t="s">
        <v>341</v>
      </c>
      <c r="I153">
        <f>ROUND(35.9/100,9)</f>
        <v>0.35899999999999999</v>
      </c>
      <c r="J153">
        <v>0</v>
      </c>
      <c r="O153">
        <f t="shared" si="152"/>
        <v>5464</v>
      </c>
      <c r="P153">
        <f t="shared" si="153"/>
        <v>2734</v>
      </c>
      <c r="Q153">
        <f t="shared" si="154"/>
        <v>199</v>
      </c>
      <c r="R153">
        <f t="shared" si="155"/>
        <v>144</v>
      </c>
      <c r="S153">
        <f t="shared" si="156"/>
        <v>2531</v>
      </c>
      <c r="T153">
        <f t="shared" si="157"/>
        <v>0</v>
      </c>
      <c r="U153">
        <f t="shared" si="158"/>
        <v>16.311703499999997</v>
      </c>
      <c r="V153">
        <f t="shared" si="159"/>
        <v>0.56991249999999993</v>
      </c>
      <c r="W153">
        <f t="shared" si="160"/>
        <v>0</v>
      </c>
      <c r="X153">
        <f t="shared" si="161"/>
        <v>2060</v>
      </c>
      <c r="Y153">
        <f t="shared" si="162"/>
        <v>1525</v>
      </c>
      <c r="AA153">
        <v>48370320</v>
      </c>
      <c r="AB153">
        <f t="shared" si="163"/>
        <v>1367.56</v>
      </c>
      <c r="AC153">
        <f>ROUND((ES153),2)</f>
        <v>971.55</v>
      </c>
      <c r="AD153">
        <f>ROUND(((((ET153*1.25))-((EU153*1.25)))+AE153),2)</f>
        <v>58.42</v>
      </c>
      <c r="AE153">
        <f>ROUND(((EU153*1.25)),2)</f>
        <v>19.21</v>
      </c>
      <c r="AF153">
        <f>ROUND(((EV153*1.15)),2)</f>
        <v>337.59</v>
      </c>
      <c r="AG153">
        <f t="shared" si="164"/>
        <v>0</v>
      </c>
      <c r="AH153">
        <f>((EW153*1.15))</f>
        <v>45.436499999999995</v>
      </c>
      <c r="AI153">
        <f>((EX153*1.25))</f>
        <v>1.5874999999999999</v>
      </c>
      <c r="AJ153">
        <f t="shared" si="165"/>
        <v>0</v>
      </c>
      <c r="AK153">
        <v>1311.85</v>
      </c>
      <c r="AL153">
        <v>971.55</v>
      </c>
      <c r="AM153">
        <v>46.74</v>
      </c>
      <c r="AN153">
        <v>15.37</v>
      </c>
      <c r="AO153">
        <v>293.56</v>
      </c>
      <c r="AP153">
        <v>0</v>
      </c>
      <c r="AQ153">
        <v>39.51</v>
      </c>
      <c r="AR153">
        <v>1.27</v>
      </c>
      <c r="AS153">
        <v>0</v>
      </c>
      <c r="AT153">
        <v>77</v>
      </c>
      <c r="AU153">
        <v>57</v>
      </c>
      <c r="AV153">
        <v>1</v>
      </c>
      <c r="AW153">
        <v>1</v>
      </c>
      <c r="AZ153">
        <v>1</v>
      </c>
      <c r="BA153">
        <v>20.88</v>
      </c>
      <c r="BB153">
        <v>9.51</v>
      </c>
      <c r="BC153">
        <v>7.84</v>
      </c>
      <c r="BD153" t="s">
        <v>3</v>
      </c>
      <c r="BE153" t="s">
        <v>3</v>
      </c>
      <c r="BF153" t="s">
        <v>3</v>
      </c>
      <c r="BG153" t="s">
        <v>3</v>
      </c>
      <c r="BH153">
        <v>0</v>
      </c>
      <c r="BI153">
        <v>1</v>
      </c>
      <c r="BJ153" t="s">
        <v>342</v>
      </c>
      <c r="BM153">
        <v>11001</v>
      </c>
      <c r="BN153">
        <v>0</v>
      </c>
      <c r="BO153" t="s">
        <v>339</v>
      </c>
      <c r="BP153">
        <v>1</v>
      </c>
      <c r="BQ153">
        <v>2</v>
      </c>
      <c r="BR153">
        <v>0</v>
      </c>
      <c r="BS153">
        <v>20.88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3</v>
      </c>
      <c r="BZ153">
        <v>123</v>
      </c>
      <c r="CA153">
        <v>75</v>
      </c>
      <c r="CF153">
        <v>0</v>
      </c>
      <c r="CG153">
        <v>0</v>
      </c>
      <c r="CM153">
        <v>0</v>
      </c>
      <c r="CN153" t="s">
        <v>937</v>
      </c>
      <c r="CO153">
        <v>0</v>
      </c>
      <c r="CP153">
        <f t="shared" si="166"/>
        <v>5464</v>
      </c>
      <c r="CQ153">
        <f t="shared" si="167"/>
        <v>7616.9519999999993</v>
      </c>
      <c r="CR153">
        <f t="shared" si="168"/>
        <v>555.57420000000002</v>
      </c>
      <c r="CS153">
        <f t="shared" si="169"/>
        <v>401.10480000000001</v>
      </c>
      <c r="CT153">
        <f t="shared" si="170"/>
        <v>7048.8791999999994</v>
      </c>
      <c r="CU153">
        <f t="shared" si="171"/>
        <v>0</v>
      </c>
      <c r="CV153">
        <f t="shared" si="172"/>
        <v>45.436499999999995</v>
      </c>
      <c r="CW153">
        <f t="shared" si="173"/>
        <v>1.5874999999999999</v>
      </c>
      <c r="CX153">
        <f t="shared" si="174"/>
        <v>0</v>
      </c>
      <c r="CY153">
        <f t="shared" si="175"/>
        <v>2059.75</v>
      </c>
      <c r="CZ153">
        <f t="shared" si="176"/>
        <v>1524.75</v>
      </c>
      <c r="DC153" t="s">
        <v>3</v>
      </c>
      <c r="DD153" t="s">
        <v>3</v>
      </c>
      <c r="DE153" t="s">
        <v>160</v>
      </c>
      <c r="DF153" t="s">
        <v>160</v>
      </c>
      <c r="DG153" t="s">
        <v>161</v>
      </c>
      <c r="DH153" t="s">
        <v>3</v>
      </c>
      <c r="DI153" t="s">
        <v>161</v>
      </c>
      <c r="DJ153" t="s">
        <v>160</v>
      </c>
      <c r="DK153" t="s">
        <v>3</v>
      </c>
      <c r="DL153" t="s">
        <v>3</v>
      </c>
      <c r="DM153" t="s">
        <v>3</v>
      </c>
      <c r="DN153">
        <v>0</v>
      </c>
      <c r="DO153">
        <v>0</v>
      </c>
      <c r="DP153">
        <v>1</v>
      </c>
      <c r="DQ153">
        <v>1</v>
      </c>
      <c r="DU153">
        <v>1013</v>
      </c>
      <c r="DV153" t="s">
        <v>341</v>
      </c>
      <c r="DW153" t="s">
        <v>341</v>
      </c>
      <c r="DX153">
        <v>1</v>
      </c>
      <c r="EE153">
        <v>45269177</v>
      </c>
      <c r="EF153">
        <v>2</v>
      </c>
      <c r="EG153" t="s">
        <v>19</v>
      </c>
      <c r="EH153">
        <v>0</v>
      </c>
      <c r="EI153" t="s">
        <v>3</v>
      </c>
      <c r="EJ153">
        <v>1</v>
      </c>
      <c r="EK153">
        <v>11001</v>
      </c>
      <c r="EL153" t="s">
        <v>50</v>
      </c>
      <c r="EM153" t="s">
        <v>199</v>
      </c>
      <c r="EO153" t="s">
        <v>162</v>
      </c>
      <c r="EQ153">
        <v>0</v>
      </c>
      <c r="ER153">
        <v>1311.85</v>
      </c>
      <c r="ES153">
        <v>971.55</v>
      </c>
      <c r="ET153">
        <v>46.74</v>
      </c>
      <c r="EU153">
        <v>15.37</v>
      </c>
      <c r="EV153">
        <v>293.56</v>
      </c>
      <c r="EW153">
        <v>39.51</v>
      </c>
      <c r="EX153">
        <v>1.27</v>
      </c>
      <c r="EY153">
        <v>0</v>
      </c>
      <c r="FQ153">
        <v>0</v>
      </c>
      <c r="FR153">
        <f t="shared" si="177"/>
        <v>0</v>
      </c>
      <c r="FS153">
        <v>0</v>
      </c>
      <c r="FT153" t="s">
        <v>22</v>
      </c>
      <c r="FU153" t="s">
        <v>23</v>
      </c>
      <c r="FX153">
        <v>77.489999999999995</v>
      </c>
      <c r="FY153">
        <v>57.375</v>
      </c>
      <c r="GA153" t="s">
        <v>3</v>
      </c>
      <c r="GD153">
        <v>0</v>
      </c>
      <c r="GF153">
        <v>-1125615314</v>
      </c>
      <c r="GG153">
        <v>2</v>
      </c>
      <c r="GH153">
        <v>1</v>
      </c>
      <c r="GI153">
        <v>2</v>
      </c>
      <c r="GJ153">
        <v>0</v>
      </c>
      <c r="GK153">
        <f>ROUND(R153*(R12)/100,0)</f>
        <v>0</v>
      </c>
      <c r="GL153">
        <f t="shared" si="178"/>
        <v>0</v>
      </c>
      <c r="GM153">
        <f t="shared" si="179"/>
        <v>9049</v>
      </c>
      <c r="GN153">
        <f t="shared" si="180"/>
        <v>9049</v>
      </c>
      <c r="GO153">
        <f t="shared" si="181"/>
        <v>0</v>
      </c>
      <c r="GP153">
        <f t="shared" si="182"/>
        <v>0</v>
      </c>
      <c r="GR153">
        <v>0</v>
      </c>
      <c r="GS153">
        <v>3</v>
      </c>
      <c r="GT153">
        <v>0</v>
      </c>
      <c r="GU153" t="s">
        <v>3</v>
      </c>
      <c r="GV153">
        <f t="shared" si="183"/>
        <v>0</v>
      </c>
      <c r="GW153">
        <v>1</v>
      </c>
      <c r="GX153">
        <f t="shared" si="184"/>
        <v>0</v>
      </c>
      <c r="HA153">
        <v>0</v>
      </c>
      <c r="HB153">
        <v>0</v>
      </c>
      <c r="IK153">
        <v>0</v>
      </c>
    </row>
    <row r="154" spans="1:245">
      <c r="A154">
        <v>17</v>
      </c>
      <c r="B154">
        <v>1</v>
      </c>
      <c r="C154">
        <f>ROW(SmtRes!A299)</f>
        <v>299</v>
      </c>
      <c r="D154">
        <f>ROW(EtalonRes!A300)</f>
        <v>300</v>
      </c>
      <c r="E154" t="s">
        <v>343</v>
      </c>
      <c r="F154" t="s">
        <v>344</v>
      </c>
      <c r="G154" t="s">
        <v>345</v>
      </c>
      <c r="H154" t="s">
        <v>341</v>
      </c>
      <c r="I154">
        <f>ROUND(35.9/100,9)</f>
        <v>0.35899999999999999</v>
      </c>
      <c r="J154">
        <v>0</v>
      </c>
      <c r="O154">
        <f t="shared" si="152"/>
        <v>2941</v>
      </c>
      <c r="P154">
        <f t="shared" si="153"/>
        <v>2676</v>
      </c>
      <c r="Q154">
        <f t="shared" si="154"/>
        <v>137</v>
      </c>
      <c r="R154">
        <f t="shared" si="155"/>
        <v>95</v>
      </c>
      <c r="S154">
        <f t="shared" si="156"/>
        <v>128</v>
      </c>
      <c r="T154">
        <f t="shared" si="157"/>
        <v>0</v>
      </c>
      <c r="U154">
        <f t="shared" si="158"/>
        <v>0.82569999999999988</v>
      </c>
      <c r="V154">
        <f t="shared" si="159"/>
        <v>0.37695000000000001</v>
      </c>
      <c r="W154">
        <f t="shared" si="160"/>
        <v>0</v>
      </c>
      <c r="X154">
        <f t="shared" si="161"/>
        <v>172</v>
      </c>
      <c r="Y154">
        <f t="shared" si="162"/>
        <v>127</v>
      </c>
      <c r="AA154">
        <v>48370320</v>
      </c>
      <c r="AB154">
        <f t="shared" si="163"/>
        <v>1021.38</v>
      </c>
      <c r="AC154">
        <f>ROUND(((ES154*4)),2)</f>
        <v>962.92</v>
      </c>
      <c r="AD154">
        <f>ROUND(((((ET154*1.25*4))-((EU154*1.25*4)))+AE154),2)</f>
        <v>41.35</v>
      </c>
      <c r="AE154">
        <f>ROUND(((EU154*1.25*4)),2)</f>
        <v>12.7</v>
      </c>
      <c r="AF154">
        <f>ROUND(((EV154*1.15*4)),2)</f>
        <v>17.11</v>
      </c>
      <c r="AG154">
        <f t="shared" si="164"/>
        <v>0</v>
      </c>
      <c r="AH154">
        <f>((EW154*1.15*4))</f>
        <v>2.2999999999999998</v>
      </c>
      <c r="AI154">
        <f>((EX154*1.25*4))</f>
        <v>1.05</v>
      </c>
      <c r="AJ154">
        <f t="shared" si="165"/>
        <v>0</v>
      </c>
      <c r="AK154">
        <v>252.72</v>
      </c>
      <c r="AL154">
        <v>240.73</v>
      </c>
      <c r="AM154">
        <v>8.27</v>
      </c>
      <c r="AN154">
        <v>2.54</v>
      </c>
      <c r="AO154">
        <v>3.72</v>
      </c>
      <c r="AP154">
        <v>0</v>
      </c>
      <c r="AQ154">
        <v>0.5</v>
      </c>
      <c r="AR154">
        <v>0.21</v>
      </c>
      <c r="AS154">
        <v>0</v>
      </c>
      <c r="AT154">
        <v>77</v>
      </c>
      <c r="AU154">
        <v>57</v>
      </c>
      <c r="AV154">
        <v>1</v>
      </c>
      <c r="AW154">
        <v>1</v>
      </c>
      <c r="AZ154">
        <v>1</v>
      </c>
      <c r="BA154">
        <v>20.88</v>
      </c>
      <c r="BB154">
        <v>9.1999999999999993</v>
      </c>
      <c r="BC154">
        <v>7.74</v>
      </c>
      <c r="BD154" t="s">
        <v>3</v>
      </c>
      <c r="BE154" t="s">
        <v>3</v>
      </c>
      <c r="BF154" t="s">
        <v>3</v>
      </c>
      <c r="BG154" t="s">
        <v>3</v>
      </c>
      <c r="BH154">
        <v>0</v>
      </c>
      <c r="BI154">
        <v>1</v>
      </c>
      <c r="BJ154" t="s">
        <v>346</v>
      </c>
      <c r="BM154">
        <v>11001</v>
      </c>
      <c r="BN154">
        <v>0</v>
      </c>
      <c r="BO154" t="s">
        <v>344</v>
      </c>
      <c r="BP154">
        <v>1</v>
      </c>
      <c r="BQ154">
        <v>2</v>
      </c>
      <c r="BR154">
        <v>0</v>
      </c>
      <c r="BS154">
        <v>20.88</v>
      </c>
      <c r="BT154">
        <v>1</v>
      </c>
      <c r="BU154">
        <v>1</v>
      </c>
      <c r="BV154">
        <v>1</v>
      </c>
      <c r="BW154">
        <v>1</v>
      </c>
      <c r="BX154">
        <v>1</v>
      </c>
      <c r="BY154" t="s">
        <v>3</v>
      </c>
      <c r="BZ154">
        <v>123</v>
      </c>
      <c r="CA154">
        <v>75</v>
      </c>
      <c r="CF154">
        <v>0</v>
      </c>
      <c r="CG154">
        <v>0</v>
      </c>
      <c r="CM154">
        <v>0</v>
      </c>
      <c r="CN154" t="s">
        <v>937</v>
      </c>
      <c r="CO154">
        <v>0</v>
      </c>
      <c r="CP154">
        <f t="shared" si="166"/>
        <v>2941</v>
      </c>
      <c r="CQ154">
        <f t="shared" si="167"/>
        <v>7453.0007999999998</v>
      </c>
      <c r="CR154">
        <f t="shared" si="168"/>
        <v>380.41999999999996</v>
      </c>
      <c r="CS154">
        <f t="shared" si="169"/>
        <v>265.17599999999999</v>
      </c>
      <c r="CT154">
        <f t="shared" si="170"/>
        <v>357.2568</v>
      </c>
      <c r="CU154">
        <f t="shared" si="171"/>
        <v>0</v>
      </c>
      <c r="CV154">
        <f t="shared" si="172"/>
        <v>2.2999999999999998</v>
      </c>
      <c r="CW154">
        <f t="shared" si="173"/>
        <v>1.05</v>
      </c>
      <c r="CX154">
        <f t="shared" si="174"/>
        <v>0</v>
      </c>
      <c r="CY154">
        <f t="shared" si="175"/>
        <v>171.71</v>
      </c>
      <c r="CZ154">
        <f t="shared" si="176"/>
        <v>127.11</v>
      </c>
      <c r="DC154" t="s">
        <v>3</v>
      </c>
      <c r="DD154" t="s">
        <v>347</v>
      </c>
      <c r="DE154" t="s">
        <v>348</v>
      </c>
      <c r="DF154" t="s">
        <v>348</v>
      </c>
      <c r="DG154" t="s">
        <v>349</v>
      </c>
      <c r="DH154" t="s">
        <v>3</v>
      </c>
      <c r="DI154" t="s">
        <v>349</v>
      </c>
      <c r="DJ154" t="s">
        <v>348</v>
      </c>
      <c r="DK154" t="s">
        <v>3</v>
      </c>
      <c r="DL154" t="s">
        <v>3</v>
      </c>
      <c r="DM154" t="s">
        <v>3</v>
      </c>
      <c r="DN154">
        <v>0</v>
      </c>
      <c r="DO154">
        <v>0</v>
      </c>
      <c r="DP154">
        <v>1</v>
      </c>
      <c r="DQ154">
        <v>1</v>
      </c>
      <c r="DU154">
        <v>1013</v>
      </c>
      <c r="DV154" t="s">
        <v>341</v>
      </c>
      <c r="DW154" t="s">
        <v>341</v>
      </c>
      <c r="DX154">
        <v>1</v>
      </c>
      <c r="EE154">
        <v>45269177</v>
      </c>
      <c r="EF154">
        <v>2</v>
      </c>
      <c r="EG154" t="s">
        <v>19</v>
      </c>
      <c r="EH154">
        <v>0</v>
      </c>
      <c r="EI154" t="s">
        <v>3</v>
      </c>
      <c r="EJ154">
        <v>1</v>
      </c>
      <c r="EK154">
        <v>11001</v>
      </c>
      <c r="EL154" t="s">
        <v>50</v>
      </c>
      <c r="EM154" t="s">
        <v>199</v>
      </c>
      <c r="EO154" t="s">
        <v>162</v>
      </c>
      <c r="EQ154">
        <v>0</v>
      </c>
      <c r="ER154">
        <v>252.72</v>
      </c>
      <c r="ES154">
        <v>240.73</v>
      </c>
      <c r="ET154">
        <v>8.27</v>
      </c>
      <c r="EU154">
        <v>2.54</v>
      </c>
      <c r="EV154">
        <v>3.72</v>
      </c>
      <c r="EW154">
        <v>0.5</v>
      </c>
      <c r="EX154">
        <v>0.21</v>
      </c>
      <c r="EY154">
        <v>0</v>
      </c>
      <c r="FQ154">
        <v>0</v>
      </c>
      <c r="FR154">
        <f t="shared" si="177"/>
        <v>0</v>
      </c>
      <c r="FS154">
        <v>0</v>
      </c>
      <c r="FT154" t="s">
        <v>22</v>
      </c>
      <c r="FU154" t="s">
        <v>23</v>
      </c>
      <c r="FX154">
        <v>77.489999999999995</v>
      </c>
      <c r="FY154">
        <v>57.375</v>
      </c>
      <c r="GA154" t="s">
        <v>3</v>
      </c>
      <c r="GD154">
        <v>0</v>
      </c>
      <c r="GF154">
        <v>-147894874</v>
      </c>
      <c r="GG154">
        <v>2</v>
      </c>
      <c r="GH154">
        <v>1</v>
      </c>
      <c r="GI154">
        <v>2</v>
      </c>
      <c r="GJ154">
        <v>0</v>
      </c>
      <c r="GK154">
        <f>ROUND(R154*(R12)/100,0)</f>
        <v>0</v>
      </c>
      <c r="GL154">
        <f t="shared" si="178"/>
        <v>0</v>
      </c>
      <c r="GM154">
        <f t="shared" si="179"/>
        <v>3240</v>
      </c>
      <c r="GN154">
        <f t="shared" si="180"/>
        <v>3240</v>
      </c>
      <c r="GO154">
        <f t="shared" si="181"/>
        <v>0</v>
      </c>
      <c r="GP154">
        <f t="shared" si="182"/>
        <v>0</v>
      </c>
      <c r="GR154">
        <v>0</v>
      </c>
      <c r="GS154">
        <v>3</v>
      </c>
      <c r="GT154">
        <v>0</v>
      </c>
      <c r="GU154" t="s">
        <v>3</v>
      </c>
      <c r="GV154">
        <f t="shared" si="183"/>
        <v>0</v>
      </c>
      <c r="GW154">
        <v>1</v>
      </c>
      <c r="GX154">
        <f t="shared" si="184"/>
        <v>0</v>
      </c>
      <c r="HA154">
        <v>0</v>
      </c>
      <c r="HB154">
        <v>0</v>
      </c>
      <c r="IK154">
        <v>0</v>
      </c>
    </row>
    <row r="155" spans="1:245">
      <c r="A155">
        <v>17</v>
      </c>
      <c r="B155">
        <v>1</v>
      </c>
      <c r="C155">
        <f>ROW(SmtRes!A312)</f>
        <v>312</v>
      </c>
      <c r="D155">
        <f>ROW(EtalonRes!A313)</f>
        <v>313</v>
      </c>
      <c r="E155" t="s">
        <v>350</v>
      </c>
      <c r="F155" t="s">
        <v>196</v>
      </c>
      <c r="G155" t="s">
        <v>197</v>
      </c>
      <c r="H155" t="s">
        <v>48</v>
      </c>
      <c r="I155">
        <f>ROUND(35.9/100,9)</f>
        <v>0.35899999999999999</v>
      </c>
      <c r="J155">
        <v>0</v>
      </c>
      <c r="O155">
        <f t="shared" si="152"/>
        <v>44131</v>
      </c>
      <c r="P155">
        <f t="shared" si="153"/>
        <v>22099</v>
      </c>
      <c r="Q155">
        <f t="shared" si="154"/>
        <v>170</v>
      </c>
      <c r="R155">
        <f t="shared" si="155"/>
        <v>146</v>
      </c>
      <c r="S155">
        <f t="shared" si="156"/>
        <v>21862</v>
      </c>
      <c r="T155">
        <f t="shared" si="157"/>
        <v>0</v>
      </c>
      <c r="U155">
        <f t="shared" si="158"/>
        <v>128.15689699999999</v>
      </c>
      <c r="V155">
        <f t="shared" si="159"/>
        <v>0.77184999999999993</v>
      </c>
      <c r="W155">
        <f t="shared" si="160"/>
        <v>0</v>
      </c>
      <c r="X155">
        <f t="shared" si="161"/>
        <v>16946</v>
      </c>
      <c r="Y155">
        <f t="shared" si="162"/>
        <v>12545</v>
      </c>
      <c r="AA155">
        <v>48370320</v>
      </c>
      <c r="AB155">
        <f t="shared" si="163"/>
        <v>22063.29</v>
      </c>
      <c r="AC155">
        <f t="shared" ref="AC155:AC167" si="185">ROUND((ES155),2)</f>
        <v>19117.169999999998</v>
      </c>
      <c r="AD155">
        <f>ROUND(((((ET155*1.25))-((EU155*1.25)))+AE155),2)</f>
        <v>29.57</v>
      </c>
      <c r="AE155">
        <f>ROUND(((EU155*1.25)),2)</f>
        <v>19.440000000000001</v>
      </c>
      <c r="AF155">
        <f>ROUND(((EV155*1.15)),2)</f>
        <v>2916.55</v>
      </c>
      <c r="AG155">
        <f t="shared" si="164"/>
        <v>0</v>
      </c>
      <c r="AH155">
        <f>((EW155*1.15))</f>
        <v>356.983</v>
      </c>
      <c r="AI155">
        <f>((EX155*1.25))</f>
        <v>2.15</v>
      </c>
      <c r="AJ155">
        <f t="shared" si="165"/>
        <v>0</v>
      </c>
      <c r="AK155">
        <v>21676.95</v>
      </c>
      <c r="AL155">
        <v>19117.169999999998</v>
      </c>
      <c r="AM155">
        <v>23.65</v>
      </c>
      <c r="AN155">
        <v>15.55</v>
      </c>
      <c r="AO155">
        <v>2536.13</v>
      </c>
      <c r="AP155">
        <v>0</v>
      </c>
      <c r="AQ155">
        <v>310.42</v>
      </c>
      <c r="AR155">
        <v>1.72</v>
      </c>
      <c r="AS155">
        <v>0</v>
      </c>
      <c r="AT155">
        <v>77</v>
      </c>
      <c r="AU155">
        <v>57</v>
      </c>
      <c r="AV155">
        <v>1</v>
      </c>
      <c r="AW155">
        <v>1</v>
      </c>
      <c r="AZ155">
        <v>1</v>
      </c>
      <c r="BA155">
        <v>20.88</v>
      </c>
      <c r="BB155">
        <v>16.059999999999999</v>
      </c>
      <c r="BC155">
        <v>3.22</v>
      </c>
      <c r="BD155" t="s">
        <v>3</v>
      </c>
      <c r="BE155" t="s">
        <v>3</v>
      </c>
      <c r="BF155" t="s">
        <v>3</v>
      </c>
      <c r="BG155" t="s">
        <v>3</v>
      </c>
      <c r="BH155">
        <v>0</v>
      </c>
      <c r="BI155">
        <v>1</v>
      </c>
      <c r="BJ155" t="s">
        <v>198</v>
      </c>
      <c r="BM155">
        <v>11001</v>
      </c>
      <c r="BN155">
        <v>0</v>
      </c>
      <c r="BO155" t="s">
        <v>196</v>
      </c>
      <c r="BP155">
        <v>1</v>
      </c>
      <c r="BQ155">
        <v>2</v>
      </c>
      <c r="BR155">
        <v>0</v>
      </c>
      <c r="BS155">
        <v>20.88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3</v>
      </c>
      <c r="BZ155">
        <v>123</v>
      </c>
      <c r="CA155">
        <v>75</v>
      </c>
      <c r="CF155">
        <v>0</v>
      </c>
      <c r="CG155">
        <v>0</v>
      </c>
      <c r="CM155">
        <v>0</v>
      </c>
      <c r="CN155" t="s">
        <v>937</v>
      </c>
      <c r="CO155">
        <v>0</v>
      </c>
      <c r="CP155">
        <f t="shared" si="166"/>
        <v>44131</v>
      </c>
      <c r="CQ155">
        <f t="shared" si="167"/>
        <v>61557.287400000001</v>
      </c>
      <c r="CR155">
        <f t="shared" si="168"/>
        <v>474.89419999999996</v>
      </c>
      <c r="CS155">
        <f t="shared" si="169"/>
        <v>405.90719999999999</v>
      </c>
      <c r="CT155">
        <f t="shared" si="170"/>
        <v>60897.563999999998</v>
      </c>
      <c r="CU155">
        <f t="shared" si="171"/>
        <v>0</v>
      </c>
      <c r="CV155">
        <f t="shared" si="172"/>
        <v>356.983</v>
      </c>
      <c r="CW155">
        <f t="shared" si="173"/>
        <v>2.15</v>
      </c>
      <c r="CX155">
        <f t="shared" si="174"/>
        <v>0</v>
      </c>
      <c r="CY155">
        <f t="shared" si="175"/>
        <v>16946.16</v>
      </c>
      <c r="CZ155">
        <f t="shared" si="176"/>
        <v>12544.56</v>
      </c>
      <c r="DC155" t="s">
        <v>3</v>
      </c>
      <c r="DD155" t="s">
        <v>3</v>
      </c>
      <c r="DE155" t="s">
        <v>160</v>
      </c>
      <c r="DF155" t="s">
        <v>160</v>
      </c>
      <c r="DG155" t="s">
        <v>161</v>
      </c>
      <c r="DH155" t="s">
        <v>3</v>
      </c>
      <c r="DI155" t="s">
        <v>161</v>
      </c>
      <c r="DJ155" t="s">
        <v>160</v>
      </c>
      <c r="DK155" t="s">
        <v>3</v>
      </c>
      <c r="DL155" t="s">
        <v>3</v>
      </c>
      <c r="DM155" t="s">
        <v>3</v>
      </c>
      <c r="DN155">
        <v>0</v>
      </c>
      <c r="DO155">
        <v>0</v>
      </c>
      <c r="DP155">
        <v>1</v>
      </c>
      <c r="DQ155">
        <v>1</v>
      </c>
      <c r="DU155">
        <v>1013</v>
      </c>
      <c r="DV155" t="s">
        <v>48</v>
      </c>
      <c r="DW155" t="s">
        <v>48</v>
      </c>
      <c r="DX155">
        <v>1</v>
      </c>
      <c r="EE155">
        <v>45269177</v>
      </c>
      <c r="EF155">
        <v>2</v>
      </c>
      <c r="EG155" t="s">
        <v>19</v>
      </c>
      <c r="EH155">
        <v>0</v>
      </c>
      <c r="EI155" t="s">
        <v>3</v>
      </c>
      <c r="EJ155">
        <v>1</v>
      </c>
      <c r="EK155">
        <v>11001</v>
      </c>
      <c r="EL155" t="s">
        <v>50</v>
      </c>
      <c r="EM155" t="s">
        <v>199</v>
      </c>
      <c r="EO155" t="s">
        <v>162</v>
      </c>
      <c r="EQ155">
        <v>0</v>
      </c>
      <c r="ER155">
        <v>21676.95</v>
      </c>
      <c r="ES155">
        <v>19117.169999999998</v>
      </c>
      <c r="ET155">
        <v>23.65</v>
      </c>
      <c r="EU155">
        <v>15.55</v>
      </c>
      <c r="EV155">
        <v>2536.13</v>
      </c>
      <c r="EW155">
        <v>310.42</v>
      </c>
      <c r="EX155">
        <v>1.72</v>
      </c>
      <c r="EY155">
        <v>0</v>
      </c>
      <c r="FQ155">
        <v>0</v>
      </c>
      <c r="FR155">
        <f t="shared" si="177"/>
        <v>0</v>
      </c>
      <c r="FS155">
        <v>0</v>
      </c>
      <c r="FT155" t="s">
        <v>22</v>
      </c>
      <c r="FU155" t="s">
        <v>23</v>
      </c>
      <c r="FX155">
        <v>77.489999999999995</v>
      </c>
      <c r="FY155">
        <v>57.375</v>
      </c>
      <c r="GA155" t="s">
        <v>3</v>
      </c>
      <c r="GD155">
        <v>0</v>
      </c>
      <c r="GF155">
        <v>-2086405919</v>
      </c>
      <c r="GG155">
        <v>2</v>
      </c>
      <c r="GH155">
        <v>1</v>
      </c>
      <c r="GI155">
        <v>2</v>
      </c>
      <c r="GJ155">
        <v>0</v>
      </c>
      <c r="GK155">
        <f>ROUND(R155*(R12)/100,0)</f>
        <v>0</v>
      </c>
      <c r="GL155">
        <f t="shared" si="178"/>
        <v>0</v>
      </c>
      <c r="GM155">
        <f t="shared" si="179"/>
        <v>73622</v>
      </c>
      <c r="GN155">
        <f t="shared" si="180"/>
        <v>73622</v>
      </c>
      <c r="GO155">
        <f t="shared" si="181"/>
        <v>0</v>
      </c>
      <c r="GP155">
        <f t="shared" si="182"/>
        <v>0</v>
      </c>
      <c r="GR155">
        <v>0</v>
      </c>
      <c r="GS155">
        <v>3</v>
      </c>
      <c r="GT155">
        <v>0</v>
      </c>
      <c r="GU155" t="s">
        <v>3</v>
      </c>
      <c r="GV155">
        <f t="shared" si="183"/>
        <v>0</v>
      </c>
      <c r="GW155">
        <v>1</v>
      </c>
      <c r="GX155">
        <f t="shared" si="184"/>
        <v>0</v>
      </c>
      <c r="HA155">
        <v>0</v>
      </c>
      <c r="HB155">
        <v>0</v>
      </c>
      <c r="IK155">
        <v>0</v>
      </c>
    </row>
    <row r="156" spans="1:245">
      <c r="A156">
        <v>17</v>
      </c>
      <c r="B156">
        <v>1</v>
      </c>
      <c r="E156" t="s">
        <v>351</v>
      </c>
      <c r="F156" t="s">
        <v>170</v>
      </c>
      <c r="G156" t="s">
        <v>171</v>
      </c>
      <c r="H156" t="s">
        <v>172</v>
      </c>
      <c r="I156">
        <v>4.67</v>
      </c>
      <c r="J156">
        <v>0</v>
      </c>
      <c r="O156">
        <f t="shared" si="152"/>
        <v>435</v>
      </c>
      <c r="P156">
        <f t="shared" si="153"/>
        <v>435</v>
      </c>
      <c r="Q156">
        <f t="shared" si="154"/>
        <v>0</v>
      </c>
      <c r="R156">
        <f t="shared" si="155"/>
        <v>0</v>
      </c>
      <c r="S156">
        <f t="shared" si="156"/>
        <v>0</v>
      </c>
      <c r="T156">
        <f t="shared" si="157"/>
        <v>0</v>
      </c>
      <c r="U156">
        <f t="shared" si="158"/>
        <v>0</v>
      </c>
      <c r="V156">
        <f t="shared" si="159"/>
        <v>0</v>
      </c>
      <c r="W156">
        <f t="shared" si="160"/>
        <v>0</v>
      </c>
      <c r="X156">
        <f t="shared" si="161"/>
        <v>0</v>
      </c>
      <c r="Y156">
        <f t="shared" si="162"/>
        <v>0</v>
      </c>
      <c r="AA156">
        <v>48370320</v>
      </c>
      <c r="AB156">
        <f t="shared" si="163"/>
        <v>22.1</v>
      </c>
      <c r="AC156">
        <f t="shared" si="185"/>
        <v>22.1</v>
      </c>
      <c r="AD156">
        <f>ROUND((((ET156)-(EU156))+AE156),2)</f>
        <v>0</v>
      </c>
      <c r="AE156">
        <f>ROUND((EU156),2)</f>
        <v>0</v>
      </c>
      <c r="AF156">
        <f>ROUND((EV156),2)</f>
        <v>0</v>
      </c>
      <c r="AG156">
        <f t="shared" si="164"/>
        <v>0</v>
      </c>
      <c r="AH156">
        <f>(EW156)</f>
        <v>0</v>
      </c>
      <c r="AI156">
        <f>(EX156)</f>
        <v>0</v>
      </c>
      <c r="AJ156">
        <f t="shared" si="165"/>
        <v>0</v>
      </c>
      <c r="AK156">
        <v>22.1</v>
      </c>
      <c r="AL156">
        <v>22.1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1</v>
      </c>
      <c r="AW156">
        <v>1</v>
      </c>
      <c r="AZ156">
        <v>1</v>
      </c>
      <c r="BA156">
        <v>1</v>
      </c>
      <c r="BB156">
        <v>1</v>
      </c>
      <c r="BC156">
        <v>4.21</v>
      </c>
      <c r="BD156" t="s">
        <v>3</v>
      </c>
      <c r="BE156" t="s">
        <v>3</v>
      </c>
      <c r="BF156" t="s">
        <v>3</v>
      </c>
      <c r="BG156" t="s">
        <v>3</v>
      </c>
      <c r="BH156">
        <v>3</v>
      </c>
      <c r="BI156">
        <v>1</v>
      </c>
      <c r="BJ156" t="s">
        <v>173</v>
      </c>
      <c r="BM156">
        <v>500001</v>
      </c>
      <c r="BN156">
        <v>0</v>
      </c>
      <c r="BO156" t="s">
        <v>170</v>
      </c>
      <c r="BP156">
        <v>1</v>
      </c>
      <c r="BQ156">
        <v>8</v>
      </c>
      <c r="BR156">
        <v>0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1</v>
      </c>
      <c r="BY156" t="s">
        <v>3</v>
      </c>
      <c r="BZ156">
        <v>0</v>
      </c>
      <c r="CA156">
        <v>0</v>
      </c>
      <c r="CF156">
        <v>0</v>
      </c>
      <c r="CG156">
        <v>0</v>
      </c>
      <c r="CM156">
        <v>0</v>
      </c>
      <c r="CN156" t="s">
        <v>3</v>
      </c>
      <c r="CO156">
        <v>0</v>
      </c>
      <c r="CP156">
        <f t="shared" si="166"/>
        <v>435</v>
      </c>
      <c r="CQ156">
        <f t="shared" si="167"/>
        <v>93.041000000000011</v>
      </c>
      <c r="CR156">
        <f t="shared" si="168"/>
        <v>0</v>
      </c>
      <c r="CS156">
        <f t="shared" si="169"/>
        <v>0</v>
      </c>
      <c r="CT156">
        <f t="shared" si="170"/>
        <v>0</v>
      </c>
      <c r="CU156">
        <f t="shared" si="171"/>
        <v>0</v>
      </c>
      <c r="CV156">
        <f t="shared" si="172"/>
        <v>0</v>
      </c>
      <c r="CW156">
        <f t="shared" si="173"/>
        <v>0</v>
      </c>
      <c r="CX156">
        <f t="shared" si="174"/>
        <v>0</v>
      </c>
      <c r="CY156">
        <f t="shared" si="175"/>
        <v>0</v>
      </c>
      <c r="CZ156">
        <f t="shared" si="176"/>
        <v>0</v>
      </c>
      <c r="DC156" t="s">
        <v>3</v>
      </c>
      <c r="DD156" t="s">
        <v>3</v>
      </c>
      <c r="DE156" t="s">
        <v>3</v>
      </c>
      <c r="DF156" t="s">
        <v>3</v>
      </c>
      <c r="DG156" t="s">
        <v>3</v>
      </c>
      <c r="DH156" t="s">
        <v>3</v>
      </c>
      <c r="DI156" t="s">
        <v>3</v>
      </c>
      <c r="DJ156" t="s">
        <v>3</v>
      </c>
      <c r="DK156" t="s">
        <v>3</v>
      </c>
      <c r="DL156" t="s">
        <v>3</v>
      </c>
      <c r="DM156" t="s">
        <v>3</v>
      </c>
      <c r="DN156">
        <v>0</v>
      </c>
      <c r="DO156">
        <v>0</v>
      </c>
      <c r="DP156">
        <v>1</v>
      </c>
      <c r="DQ156">
        <v>1</v>
      </c>
      <c r="DU156">
        <v>1009</v>
      </c>
      <c r="DV156" t="s">
        <v>172</v>
      </c>
      <c r="DW156" t="s">
        <v>172</v>
      </c>
      <c r="DX156">
        <v>1</v>
      </c>
      <c r="EE156">
        <v>45269109</v>
      </c>
      <c r="EF156">
        <v>8</v>
      </c>
      <c r="EG156" t="s">
        <v>174</v>
      </c>
      <c r="EH156">
        <v>0</v>
      </c>
      <c r="EI156" t="s">
        <v>3</v>
      </c>
      <c r="EJ156">
        <v>1</v>
      </c>
      <c r="EK156">
        <v>500001</v>
      </c>
      <c r="EL156" t="s">
        <v>175</v>
      </c>
      <c r="EM156" t="s">
        <v>176</v>
      </c>
      <c r="EO156" t="s">
        <v>3</v>
      </c>
      <c r="EQ156">
        <v>0</v>
      </c>
      <c r="ER156">
        <v>22.1</v>
      </c>
      <c r="ES156">
        <v>22.1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FQ156">
        <v>0</v>
      </c>
      <c r="FR156">
        <f t="shared" si="177"/>
        <v>0</v>
      </c>
      <c r="FS156">
        <v>0</v>
      </c>
      <c r="FX156">
        <v>0</v>
      </c>
      <c r="FY156">
        <v>0</v>
      </c>
      <c r="GA156" t="s">
        <v>3</v>
      </c>
      <c r="GD156">
        <v>0</v>
      </c>
      <c r="GF156">
        <v>2081603469</v>
      </c>
      <c r="GG156">
        <v>2</v>
      </c>
      <c r="GH156">
        <v>1</v>
      </c>
      <c r="GI156">
        <v>2</v>
      </c>
      <c r="GJ156">
        <v>0</v>
      </c>
      <c r="GK156">
        <f>ROUND(R156*(R12)/100,0)</f>
        <v>0</v>
      </c>
      <c r="GL156">
        <f t="shared" si="178"/>
        <v>0</v>
      </c>
      <c r="GM156">
        <f t="shared" si="179"/>
        <v>435</v>
      </c>
      <c r="GN156">
        <f t="shared" si="180"/>
        <v>435</v>
      </c>
      <c r="GO156">
        <f t="shared" si="181"/>
        <v>0</v>
      </c>
      <c r="GP156">
        <f t="shared" si="182"/>
        <v>0</v>
      </c>
      <c r="GR156">
        <v>0</v>
      </c>
      <c r="GS156">
        <v>3</v>
      </c>
      <c r="GT156">
        <v>0</v>
      </c>
      <c r="GU156" t="s">
        <v>3</v>
      </c>
      <c r="GV156">
        <f t="shared" si="183"/>
        <v>0</v>
      </c>
      <c r="GW156">
        <v>1</v>
      </c>
      <c r="GX156">
        <f t="shared" si="184"/>
        <v>0</v>
      </c>
      <c r="HA156">
        <v>0</v>
      </c>
      <c r="HB156">
        <v>0</v>
      </c>
      <c r="IK156">
        <v>0</v>
      </c>
    </row>
    <row r="157" spans="1:245">
      <c r="A157">
        <v>17</v>
      </c>
      <c r="B157">
        <v>1</v>
      </c>
      <c r="C157">
        <f>ROW(SmtRes!A322)</f>
        <v>322</v>
      </c>
      <c r="D157">
        <f>ROW(EtalonRes!A323)</f>
        <v>323</v>
      </c>
      <c r="E157" t="s">
        <v>352</v>
      </c>
      <c r="F157" t="s">
        <v>183</v>
      </c>
      <c r="G157" t="s">
        <v>353</v>
      </c>
      <c r="H157" t="s">
        <v>41</v>
      </c>
      <c r="I157">
        <f>ROUND(3.2/100,9)</f>
        <v>3.2000000000000001E-2</v>
      </c>
      <c r="J157">
        <v>0</v>
      </c>
      <c r="O157">
        <f t="shared" si="152"/>
        <v>2116</v>
      </c>
      <c r="P157">
        <f t="shared" si="153"/>
        <v>1046</v>
      </c>
      <c r="Q157">
        <f t="shared" si="154"/>
        <v>17</v>
      </c>
      <c r="R157">
        <f t="shared" si="155"/>
        <v>13</v>
      </c>
      <c r="S157">
        <f t="shared" si="156"/>
        <v>1053</v>
      </c>
      <c r="T157">
        <f t="shared" si="157"/>
        <v>0</v>
      </c>
      <c r="U157">
        <f t="shared" si="158"/>
        <v>5.8758559999999989</v>
      </c>
      <c r="V157">
        <f t="shared" si="159"/>
        <v>6.6000000000000003E-2</v>
      </c>
      <c r="W157">
        <f t="shared" si="160"/>
        <v>0</v>
      </c>
      <c r="X157">
        <f t="shared" si="161"/>
        <v>704</v>
      </c>
      <c r="Y157">
        <f t="shared" si="162"/>
        <v>448</v>
      </c>
      <c r="AA157">
        <v>48370320</v>
      </c>
      <c r="AB157">
        <f t="shared" si="163"/>
        <v>10721.96</v>
      </c>
      <c r="AC157">
        <f t="shared" si="185"/>
        <v>9108.5400000000009</v>
      </c>
      <c r="AD157">
        <f>ROUND(((((ET157*1.25))-((EU157*1.25)))+AE157),2)</f>
        <v>37.950000000000003</v>
      </c>
      <c r="AE157">
        <f>ROUND(((EU157*1.25)),2)</f>
        <v>19.61</v>
      </c>
      <c r="AF157">
        <f>ROUND(((EV157*1.15)),2)</f>
        <v>1575.47</v>
      </c>
      <c r="AG157">
        <f t="shared" si="164"/>
        <v>0</v>
      </c>
      <c r="AH157">
        <f>((EW157*1.15))</f>
        <v>183.62049999999996</v>
      </c>
      <c r="AI157">
        <f>((EX157*1.25))</f>
        <v>2.0625</v>
      </c>
      <c r="AJ157">
        <f t="shared" si="165"/>
        <v>0</v>
      </c>
      <c r="AK157">
        <v>10508.87</v>
      </c>
      <c r="AL157">
        <v>9108.5400000000009</v>
      </c>
      <c r="AM157">
        <v>30.36</v>
      </c>
      <c r="AN157">
        <v>15.69</v>
      </c>
      <c r="AO157">
        <v>1369.97</v>
      </c>
      <c r="AP157">
        <v>0</v>
      </c>
      <c r="AQ157">
        <v>159.66999999999999</v>
      </c>
      <c r="AR157">
        <v>1.65</v>
      </c>
      <c r="AS157">
        <v>0</v>
      </c>
      <c r="AT157">
        <v>66</v>
      </c>
      <c r="AU157">
        <v>42</v>
      </c>
      <c r="AV157">
        <v>1</v>
      </c>
      <c r="AW157">
        <v>1</v>
      </c>
      <c r="AZ157">
        <v>1</v>
      </c>
      <c r="BA157">
        <v>20.88</v>
      </c>
      <c r="BB157">
        <v>13.63</v>
      </c>
      <c r="BC157">
        <v>3.59</v>
      </c>
      <c r="BD157" t="s">
        <v>3</v>
      </c>
      <c r="BE157" t="s">
        <v>3</v>
      </c>
      <c r="BF157" t="s">
        <v>3</v>
      </c>
      <c r="BG157" t="s">
        <v>3</v>
      </c>
      <c r="BH157">
        <v>0</v>
      </c>
      <c r="BI157">
        <v>1</v>
      </c>
      <c r="BJ157" t="s">
        <v>185</v>
      </c>
      <c r="BM157">
        <v>15001</v>
      </c>
      <c r="BN157">
        <v>0</v>
      </c>
      <c r="BO157" t="s">
        <v>183</v>
      </c>
      <c r="BP157">
        <v>1</v>
      </c>
      <c r="BQ157">
        <v>2</v>
      </c>
      <c r="BR157">
        <v>0</v>
      </c>
      <c r="BS157">
        <v>20.88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3</v>
      </c>
      <c r="BZ157">
        <v>105</v>
      </c>
      <c r="CA157">
        <v>55</v>
      </c>
      <c r="CF157">
        <v>0</v>
      </c>
      <c r="CG157">
        <v>0</v>
      </c>
      <c r="CM157">
        <v>0</v>
      </c>
      <c r="CN157" t="s">
        <v>937</v>
      </c>
      <c r="CO157">
        <v>0</v>
      </c>
      <c r="CP157">
        <f t="shared" si="166"/>
        <v>2116</v>
      </c>
      <c r="CQ157">
        <f t="shared" si="167"/>
        <v>32699.658600000002</v>
      </c>
      <c r="CR157">
        <f t="shared" si="168"/>
        <v>517.25850000000003</v>
      </c>
      <c r="CS157">
        <f t="shared" si="169"/>
        <v>409.45679999999999</v>
      </c>
      <c r="CT157">
        <f t="shared" si="170"/>
        <v>32895.813600000001</v>
      </c>
      <c r="CU157">
        <f t="shared" si="171"/>
        <v>0</v>
      </c>
      <c r="CV157">
        <f t="shared" si="172"/>
        <v>183.62049999999996</v>
      </c>
      <c r="CW157">
        <f t="shared" si="173"/>
        <v>2.0625</v>
      </c>
      <c r="CX157">
        <f t="shared" si="174"/>
        <v>0</v>
      </c>
      <c r="CY157">
        <f t="shared" si="175"/>
        <v>703.56</v>
      </c>
      <c r="CZ157">
        <f t="shared" si="176"/>
        <v>447.72</v>
      </c>
      <c r="DC157" t="s">
        <v>3</v>
      </c>
      <c r="DD157" t="s">
        <v>3</v>
      </c>
      <c r="DE157" t="s">
        <v>160</v>
      </c>
      <c r="DF157" t="s">
        <v>160</v>
      </c>
      <c r="DG157" t="s">
        <v>161</v>
      </c>
      <c r="DH157" t="s">
        <v>3</v>
      </c>
      <c r="DI157" t="s">
        <v>161</v>
      </c>
      <c r="DJ157" t="s">
        <v>160</v>
      </c>
      <c r="DK157" t="s">
        <v>3</v>
      </c>
      <c r="DL157" t="s">
        <v>3</v>
      </c>
      <c r="DM157" t="s">
        <v>3</v>
      </c>
      <c r="DN157">
        <v>0</v>
      </c>
      <c r="DO157">
        <v>0</v>
      </c>
      <c r="DP157">
        <v>1</v>
      </c>
      <c r="DQ157">
        <v>1</v>
      </c>
      <c r="DU157">
        <v>1013</v>
      </c>
      <c r="DV157" t="s">
        <v>41</v>
      </c>
      <c r="DW157" t="s">
        <v>41</v>
      </c>
      <c r="DX157">
        <v>1</v>
      </c>
      <c r="EE157">
        <v>45269202</v>
      </c>
      <c r="EF157">
        <v>2</v>
      </c>
      <c r="EG157" t="s">
        <v>19</v>
      </c>
      <c r="EH157">
        <v>0</v>
      </c>
      <c r="EI157" t="s">
        <v>3</v>
      </c>
      <c r="EJ157">
        <v>1</v>
      </c>
      <c r="EK157">
        <v>15001</v>
      </c>
      <c r="EL157" t="s">
        <v>157</v>
      </c>
      <c r="EM157" t="s">
        <v>168</v>
      </c>
      <c r="EO157" t="s">
        <v>162</v>
      </c>
      <c r="EQ157">
        <v>0</v>
      </c>
      <c r="ER157">
        <v>10508.87</v>
      </c>
      <c r="ES157">
        <v>9108.5400000000009</v>
      </c>
      <c r="ET157">
        <v>30.36</v>
      </c>
      <c r="EU157">
        <v>15.69</v>
      </c>
      <c r="EV157">
        <v>1369.97</v>
      </c>
      <c r="EW157">
        <v>159.66999999999999</v>
      </c>
      <c r="EX157">
        <v>1.65</v>
      </c>
      <c r="EY157">
        <v>0</v>
      </c>
      <c r="FQ157">
        <v>0</v>
      </c>
      <c r="FR157">
        <f t="shared" si="177"/>
        <v>0</v>
      </c>
      <c r="FS157">
        <v>0</v>
      </c>
      <c r="FT157" t="s">
        <v>22</v>
      </c>
      <c r="FU157" t="s">
        <v>23</v>
      </c>
      <c r="FX157">
        <v>66.150000000000006</v>
      </c>
      <c r="FY157">
        <v>42.075000000000003</v>
      </c>
      <c r="GA157" t="s">
        <v>3</v>
      </c>
      <c r="GD157">
        <v>0</v>
      </c>
      <c r="GF157">
        <v>-844672725</v>
      </c>
      <c r="GG157">
        <v>2</v>
      </c>
      <c r="GH157">
        <v>1</v>
      </c>
      <c r="GI157">
        <v>2</v>
      </c>
      <c r="GJ157">
        <v>0</v>
      </c>
      <c r="GK157">
        <f>ROUND(R157*(R12)/100,0)</f>
        <v>0</v>
      </c>
      <c r="GL157">
        <f t="shared" si="178"/>
        <v>0</v>
      </c>
      <c r="GM157">
        <f t="shared" si="179"/>
        <v>3268</v>
      </c>
      <c r="GN157">
        <f t="shared" si="180"/>
        <v>3268</v>
      </c>
      <c r="GO157">
        <f t="shared" si="181"/>
        <v>0</v>
      </c>
      <c r="GP157">
        <f t="shared" si="182"/>
        <v>0</v>
      </c>
      <c r="GR157">
        <v>0</v>
      </c>
      <c r="GS157">
        <v>3</v>
      </c>
      <c r="GT157">
        <v>0</v>
      </c>
      <c r="GU157" t="s">
        <v>3</v>
      </c>
      <c r="GV157">
        <f t="shared" si="183"/>
        <v>0</v>
      </c>
      <c r="GW157">
        <v>1</v>
      </c>
      <c r="GX157">
        <f t="shared" si="184"/>
        <v>0</v>
      </c>
      <c r="HA157">
        <v>0</v>
      </c>
      <c r="HB157">
        <v>0</v>
      </c>
      <c r="IK157">
        <v>0</v>
      </c>
    </row>
    <row r="158" spans="1:245">
      <c r="A158">
        <v>18</v>
      </c>
      <c r="B158">
        <v>1</v>
      </c>
      <c r="C158">
        <v>318</v>
      </c>
      <c r="E158" t="s">
        <v>354</v>
      </c>
      <c r="F158" t="s">
        <v>187</v>
      </c>
      <c r="G158" t="s">
        <v>188</v>
      </c>
      <c r="H158" t="s">
        <v>189</v>
      </c>
      <c r="I158">
        <f>I157*J158</f>
        <v>-3.2</v>
      </c>
      <c r="J158">
        <v>-100</v>
      </c>
      <c r="O158">
        <f t="shared" si="152"/>
        <v>-823</v>
      </c>
      <c r="P158">
        <f t="shared" si="153"/>
        <v>-823</v>
      </c>
      <c r="Q158">
        <f t="shared" si="154"/>
        <v>0</v>
      </c>
      <c r="R158">
        <f t="shared" si="155"/>
        <v>0</v>
      </c>
      <c r="S158">
        <f t="shared" si="156"/>
        <v>0</v>
      </c>
      <c r="T158">
        <f t="shared" si="157"/>
        <v>0</v>
      </c>
      <c r="U158">
        <f t="shared" si="158"/>
        <v>0</v>
      </c>
      <c r="V158">
        <f t="shared" si="159"/>
        <v>0</v>
      </c>
      <c r="W158">
        <f t="shared" si="160"/>
        <v>0</v>
      </c>
      <c r="X158">
        <f t="shared" si="161"/>
        <v>0</v>
      </c>
      <c r="Y158">
        <f t="shared" si="162"/>
        <v>0</v>
      </c>
      <c r="AA158">
        <v>48370320</v>
      </c>
      <c r="AB158">
        <f t="shared" si="163"/>
        <v>68</v>
      </c>
      <c r="AC158">
        <f t="shared" si="185"/>
        <v>68</v>
      </c>
      <c r="AD158">
        <f>ROUND((((ET158)-(EU158))+AE158),2)</f>
        <v>0</v>
      </c>
      <c r="AE158">
        <f>ROUND((EU158),2)</f>
        <v>0</v>
      </c>
      <c r="AF158">
        <f>ROUND((EV158),2)</f>
        <v>0</v>
      </c>
      <c r="AG158">
        <f t="shared" si="164"/>
        <v>0</v>
      </c>
      <c r="AH158">
        <f>(EW158)</f>
        <v>0</v>
      </c>
      <c r="AI158">
        <f>(EX158)</f>
        <v>0</v>
      </c>
      <c r="AJ158">
        <f t="shared" si="165"/>
        <v>0</v>
      </c>
      <c r="AK158">
        <v>68</v>
      </c>
      <c r="AL158">
        <v>68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66</v>
      </c>
      <c r="AU158">
        <v>42</v>
      </c>
      <c r="AV158">
        <v>1</v>
      </c>
      <c r="AW158">
        <v>1</v>
      </c>
      <c r="AZ158">
        <v>1</v>
      </c>
      <c r="BA158">
        <v>1</v>
      </c>
      <c r="BB158">
        <v>1</v>
      </c>
      <c r="BC158">
        <v>3.78</v>
      </c>
      <c r="BD158" t="s">
        <v>3</v>
      </c>
      <c r="BE158" t="s">
        <v>3</v>
      </c>
      <c r="BF158" t="s">
        <v>3</v>
      </c>
      <c r="BG158" t="s">
        <v>3</v>
      </c>
      <c r="BH158">
        <v>3</v>
      </c>
      <c r="BI158">
        <v>1</v>
      </c>
      <c r="BJ158" t="s">
        <v>190</v>
      </c>
      <c r="BM158">
        <v>15001</v>
      </c>
      <c r="BN158">
        <v>0</v>
      </c>
      <c r="BO158" t="s">
        <v>187</v>
      </c>
      <c r="BP158">
        <v>1</v>
      </c>
      <c r="BQ158">
        <v>2</v>
      </c>
      <c r="BR158">
        <v>1</v>
      </c>
      <c r="BS158">
        <v>1</v>
      </c>
      <c r="BT158">
        <v>1</v>
      </c>
      <c r="BU158">
        <v>1</v>
      </c>
      <c r="BV158">
        <v>1</v>
      </c>
      <c r="BW158">
        <v>1</v>
      </c>
      <c r="BX158">
        <v>1</v>
      </c>
      <c r="BY158" t="s">
        <v>3</v>
      </c>
      <c r="BZ158">
        <v>105</v>
      </c>
      <c r="CA158">
        <v>55</v>
      </c>
      <c r="CF158">
        <v>0</v>
      </c>
      <c r="CG158">
        <v>0</v>
      </c>
      <c r="CM158">
        <v>0</v>
      </c>
      <c r="CN158" t="s">
        <v>3</v>
      </c>
      <c r="CO158">
        <v>0</v>
      </c>
      <c r="CP158">
        <f t="shared" si="166"/>
        <v>-823</v>
      </c>
      <c r="CQ158">
        <f t="shared" si="167"/>
        <v>257.03999999999996</v>
      </c>
      <c r="CR158">
        <f t="shared" si="168"/>
        <v>0</v>
      </c>
      <c r="CS158">
        <f t="shared" si="169"/>
        <v>0</v>
      </c>
      <c r="CT158">
        <f t="shared" si="170"/>
        <v>0</v>
      </c>
      <c r="CU158">
        <f t="shared" si="171"/>
        <v>0</v>
      </c>
      <c r="CV158">
        <f t="shared" si="172"/>
        <v>0</v>
      </c>
      <c r="CW158">
        <f t="shared" si="173"/>
        <v>0</v>
      </c>
      <c r="CX158">
        <f t="shared" si="174"/>
        <v>0</v>
      </c>
      <c r="CY158">
        <f t="shared" si="175"/>
        <v>0</v>
      </c>
      <c r="CZ158">
        <f t="shared" si="176"/>
        <v>0</v>
      </c>
      <c r="DC158" t="s">
        <v>3</v>
      </c>
      <c r="DD158" t="s">
        <v>3</v>
      </c>
      <c r="DE158" t="s">
        <v>3</v>
      </c>
      <c r="DF158" t="s">
        <v>3</v>
      </c>
      <c r="DG158" t="s">
        <v>3</v>
      </c>
      <c r="DH158" t="s">
        <v>3</v>
      </c>
      <c r="DI158" t="s">
        <v>3</v>
      </c>
      <c r="DJ158" t="s">
        <v>3</v>
      </c>
      <c r="DK158" t="s">
        <v>3</v>
      </c>
      <c r="DL158" t="s">
        <v>3</v>
      </c>
      <c r="DM158" t="s">
        <v>3</v>
      </c>
      <c r="DN158">
        <v>0</v>
      </c>
      <c r="DO158">
        <v>0</v>
      </c>
      <c r="DP158">
        <v>1</v>
      </c>
      <c r="DQ158">
        <v>1</v>
      </c>
      <c r="DU158">
        <v>1005</v>
      </c>
      <c r="DV158" t="s">
        <v>189</v>
      </c>
      <c r="DW158" t="s">
        <v>189</v>
      </c>
      <c r="DX158">
        <v>1</v>
      </c>
      <c r="EE158">
        <v>45269202</v>
      </c>
      <c r="EF158">
        <v>2</v>
      </c>
      <c r="EG158" t="s">
        <v>19</v>
      </c>
      <c r="EH158">
        <v>0</v>
      </c>
      <c r="EI158" t="s">
        <v>3</v>
      </c>
      <c r="EJ158">
        <v>1</v>
      </c>
      <c r="EK158">
        <v>15001</v>
      </c>
      <c r="EL158" t="s">
        <v>157</v>
      </c>
      <c r="EM158" t="s">
        <v>168</v>
      </c>
      <c r="EO158" t="s">
        <v>3</v>
      </c>
      <c r="EQ158">
        <v>0</v>
      </c>
      <c r="ER158">
        <v>68</v>
      </c>
      <c r="ES158">
        <v>68</v>
      </c>
      <c r="ET158">
        <v>0</v>
      </c>
      <c r="EU158">
        <v>0</v>
      </c>
      <c r="EV158">
        <v>0</v>
      </c>
      <c r="EW158">
        <v>0</v>
      </c>
      <c r="EX158">
        <v>0</v>
      </c>
      <c r="FQ158">
        <v>0</v>
      </c>
      <c r="FR158">
        <f t="shared" si="177"/>
        <v>0</v>
      </c>
      <c r="FS158">
        <v>0</v>
      </c>
      <c r="FT158" t="s">
        <v>22</v>
      </c>
      <c r="FU158" t="s">
        <v>23</v>
      </c>
      <c r="FX158">
        <v>66.150000000000006</v>
      </c>
      <c r="FY158">
        <v>42.075000000000003</v>
      </c>
      <c r="GA158" t="s">
        <v>3</v>
      </c>
      <c r="GD158">
        <v>0</v>
      </c>
      <c r="GF158">
        <v>-1026179426</v>
      </c>
      <c r="GG158">
        <v>2</v>
      </c>
      <c r="GH158">
        <v>1</v>
      </c>
      <c r="GI158">
        <v>2</v>
      </c>
      <c r="GJ158">
        <v>0</v>
      </c>
      <c r="GK158">
        <f>ROUND(R158*(R12)/100,0)</f>
        <v>0</v>
      </c>
      <c r="GL158">
        <f t="shared" si="178"/>
        <v>0</v>
      </c>
      <c r="GM158">
        <f t="shared" si="179"/>
        <v>-823</v>
      </c>
      <c r="GN158">
        <f t="shared" si="180"/>
        <v>-823</v>
      </c>
      <c r="GO158">
        <f t="shared" si="181"/>
        <v>0</v>
      </c>
      <c r="GP158">
        <f t="shared" si="182"/>
        <v>0</v>
      </c>
      <c r="GR158">
        <v>0</v>
      </c>
      <c r="GS158">
        <v>3</v>
      </c>
      <c r="GT158">
        <v>0</v>
      </c>
      <c r="GU158" t="s">
        <v>3</v>
      </c>
      <c r="GV158">
        <f t="shared" si="183"/>
        <v>0</v>
      </c>
      <c r="GW158">
        <v>1</v>
      </c>
      <c r="GX158">
        <f t="shared" si="184"/>
        <v>0</v>
      </c>
      <c r="HA158">
        <v>0</v>
      </c>
      <c r="HB158">
        <v>0</v>
      </c>
      <c r="IK158">
        <v>0</v>
      </c>
    </row>
    <row r="159" spans="1:245">
      <c r="A159">
        <v>17</v>
      </c>
      <c r="B159">
        <v>1</v>
      </c>
      <c r="E159" t="s">
        <v>355</v>
      </c>
      <c r="F159" t="s">
        <v>356</v>
      </c>
      <c r="G159" t="s">
        <v>357</v>
      </c>
      <c r="H159" t="s">
        <v>189</v>
      </c>
      <c r="I159">
        <v>3.2</v>
      </c>
      <c r="J159">
        <v>0</v>
      </c>
      <c r="O159">
        <f t="shared" si="152"/>
        <v>1038</v>
      </c>
      <c r="P159">
        <f t="shared" si="153"/>
        <v>1038</v>
      </c>
      <c r="Q159">
        <f t="shared" si="154"/>
        <v>0</v>
      </c>
      <c r="R159">
        <f t="shared" si="155"/>
        <v>0</v>
      </c>
      <c r="S159">
        <f t="shared" si="156"/>
        <v>0</v>
      </c>
      <c r="T159">
        <f t="shared" si="157"/>
        <v>0</v>
      </c>
      <c r="U159">
        <f t="shared" si="158"/>
        <v>0</v>
      </c>
      <c r="V159">
        <f t="shared" si="159"/>
        <v>0</v>
      </c>
      <c r="W159">
        <f t="shared" si="160"/>
        <v>0</v>
      </c>
      <c r="X159">
        <f t="shared" si="161"/>
        <v>0</v>
      </c>
      <c r="Y159">
        <f t="shared" si="162"/>
        <v>0</v>
      </c>
      <c r="AA159">
        <v>48370320</v>
      </c>
      <c r="AB159">
        <f t="shared" si="163"/>
        <v>66.73</v>
      </c>
      <c r="AC159">
        <f t="shared" si="185"/>
        <v>66.73</v>
      </c>
      <c r="AD159">
        <f>ROUND((((ET159)-(EU159))+AE159),2)</f>
        <v>0</v>
      </c>
      <c r="AE159">
        <f>ROUND((EU159),2)</f>
        <v>0</v>
      </c>
      <c r="AF159">
        <f>ROUND((EV159),2)</f>
        <v>0</v>
      </c>
      <c r="AG159">
        <f t="shared" si="164"/>
        <v>0</v>
      </c>
      <c r="AH159">
        <f>(EW159)</f>
        <v>0</v>
      </c>
      <c r="AI159">
        <f>(EX159)</f>
        <v>0</v>
      </c>
      <c r="AJ159">
        <f t="shared" si="165"/>
        <v>0</v>
      </c>
      <c r="AK159">
        <v>66.73</v>
      </c>
      <c r="AL159">
        <v>66.73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v>4.8600000000000003</v>
      </c>
      <c r="BD159" t="s">
        <v>3</v>
      </c>
      <c r="BE159" t="s">
        <v>3</v>
      </c>
      <c r="BF159" t="s">
        <v>3</v>
      </c>
      <c r="BG159" t="s">
        <v>3</v>
      </c>
      <c r="BH159">
        <v>3</v>
      </c>
      <c r="BI159">
        <v>1</v>
      </c>
      <c r="BJ159" t="s">
        <v>358</v>
      </c>
      <c r="BM159">
        <v>500001</v>
      </c>
      <c r="BN159">
        <v>0</v>
      </c>
      <c r="BO159" t="s">
        <v>356</v>
      </c>
      <c r="BP159">
        <v>1</v>
      </c>
      <c r="BQ159">
        <v>8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3</v>
      </c>
      <c r="BZ159">
        <v>0</v>
      </c>
      <c r="CA159">
        <v>0</v>
      </c>
      <c r="CF159">
        <v>0</v>
      </c>
      <c r="CG159">
        <v>0</v>
      </c>
      <c r="CM159">
        <v>0</v>
      </c>
      <c r="CN159" t="s">
        <v>3</v>
      </c>
      <c r="CO159">
        <v>0</v>
      </c>
      <c r="CP159">
        <f t="shared" si="166"/>
        <v>1038</v>
      </c>
      <c r="CQ159">
        <f t="shared" si="167"/>
        <v>324.30780000000004</v>
      </c>
      <c r="CR159">
        <f t="shared" si="168"/>
        <v>0</v>
      </c>
      <c r="CS159">
        <f t="shared" si="169"/>
        <v>0</v>
      </c>
      <c r="CT159">
        <f t="shared" si="170"/>
        <v>0</v>
      </c>
      <c r="CU159">
        <f t="shared" si="171"/>
        <v>0</v>
      </c>
      <c r="CV159">
        <f t="shared" si="172"/>
        <v>0</v>
      </c>
      <c r="CW159">
        <f t="shared" si="173"/>
        <v>0</v>
      </c>
      <c r="CX159">
        <f t="shared" si="174"/>
        <v>0</v>
      </c>
      <c r="CY159">
        <f t="shared" si="175"/>
        <v>0</v>
      </c>
      <c r="CZ159">
        <f t="shared" si="176"/>
        <v>0</v>
      </c>
      <c r="DC159" t="s">
        <v>3</v>
      </c>
      <c r="DD159" t="s">
        <v>3</v>
      </c>
      <c r="DE159" t="s">
        <v>3</v>
      </c>
      <c r="DF159" t="s">
        <v>3</v>
      </c>
      <c r="DG159" t="s">
        <v>3</v>
      </c>
      <c r="DH159" t="s">
        <v>3</v>
      </c>
      <c r="DI159" t="s">
        <v>3</v>
      </c>
      <c r="DJ159" t="s">
        <v>3</v>
      </c>
      <c r="DK159" t="s">
        <v>3</v>
      </c>
      <c r="DL159" t="s">
        <v>3</v>
      </c>
      <c r="DM159" t="s">
        <v>3</v>
      </c>
      <c r="DN159">
        <v>0</v>
      </c>
      <c r="DO159">
        <v>0</v>
      </c>
      <c r="DP159">
        <v>1</v>
      </c>
      <c r="DQ159">
        <v>1</v>
      </c>
      <c r="DU159">
        <v>1005</v>
      </c>
      <c r="DV159" t="s">
        <v>189</v>
      </c>
      <c r="DW159" t="s">
        <v>189</v>
      </c>
      <c r="DX159">
        <v>1</v>
      </c>
      <c r="EE159">
        <v>45269109</v>
      </c>
      <c r="EF159">
        <v>8</v>
      </c>
      <c r="EG159" t="s">
        <v>174</v>
      </c>
      <c r="EH159">
        <v>0</v>
      </c>
      <c r="EI159" t="s">
        <v>3</v>
      </c>
      <c r="EJ159">
        <v>1</v>
      </c>
      <c r="EK159">
        <v>500001</v>
      </c>
      <c r="EL159" t="s">
        <v>175</v>
      </c>
      <c r="EM159" t="s">
        <v>176</v>
      </c>
      <c r="EO159" t="s">
        <v>3</v>
      </c>
      <c r="EQ159">
        <v>0</v>
      </c>
      <c r="ER159">
        <v>66.73</v>
      </c>
      <c r="ES159">
        <v>66.73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FQ159">
        <v>0</v>
      </c>
      <c r="FR159">
        <f t="shared" si="177"/>
        <v>0</v>
      </c>
      <c r="FS159">
        <v>0</v>
      </c>
      <c r="FX159">
        <v>0</v>
      </c>
      <c r="FY159">
        <v>0</v>
      </c>
      <c r="GA159" t="s">
        <v>3</v>
      </c>
      <c r="GD159">
        <v>0</v>
      </c>
      <c r="GF159">
        <v>2096370586</v>
      </c>
      <c r="GG159">
        <v>2</v>
      </c>
      <c r="GH159">
        <v>1</v>
      </c>
      <c r="GI159">
        <v>2</v>
      </c>
      <c r="GJ159">
        <v>0</v>
      </c>
      <c r="GK159">
        <f>ROUND(R159*(R12)/100,0)</f>
        <v>0</v>
      </c>
      <c r="GL159">
        <f t="shared" si="178"/>
        <v>0</v>
      </c>
      <c r="GM159">
        <f t="shared" si="179"/>
        <v>1038</v>
      </c>
      <c r="GN159">
        <f t="shared" si="180"/>
        <v>1038</v>
      </c>
      <c r="GO159">
        <f t="shared" si="181"/>
        <v>0</v>
      </c>
      <c r="GP159">
        <f t="shared" si="182"/>
        <v>0</v>
      </c>
      <c r="GR159">
        <v>0</v>
      </c>
      <c r="GS159">
        <v>3</v>
      </c>
      <c r="GT159">
        <v>0</v>
      </c>
      <c r="GU159" t="s">
        <v>3</v>
      </c>
      <c r="GV159">
        <f t="shared" si="183"/>
        <v>0</v>
      </c>
      <c r="GW159">
        <v>1</v>
      </c>
      <c r="GX159">
        <f t="shared" si="184"/>
        <v>0</v>
      </c>
      <c r="HA159">
        <v>0</v>
      </c>
      <c r="HB159">
        <v>0</v>
      </c>
      <c r="IK159">
        <v>0</v>
      </c>
    </row>
    <row r="160" spans="1:245">
      <c r="A160">
        <v>17</v>
      </c>
      <c r="B160">
        <v>1</v>
      </c>
      <c r="C160">
        <f>ROW(SmtRes!A327)</f>
        <v>327</v>
      </c>
      <c r="D160">
        <f>ROW(EtalonRes!A328)</f>
        <v>328</v>
      </c>
      <c r="E160" t="s">
        <v>359</v>
      </c>
      <c r="F160" t="s">
        <v>360</v>
      </c>
      <c r="G160" t="s">
        <v>361</v>
      </c>
      <c r="H160" t="s">
        <v>180</v>
      </c>
      <c r="I160">
        <f>ROUND(2.84/100,9)</f>
        <v>2.8400000000000002E-2</v>
      </c>
      <c r="J160">
        <v>0</v>
      </c>
      <c r="O160">
        <f t="shared" si="152"/>
        <v>1599</v>
      </c>
      <c r="P160">
        <f t="shared" si="153"/>
        <v>367</v>
      </c>
      <c r="Q160">
        <f t="shared" si="154"/>
        <v>24</v>
      </c>
      <c r="R160">
        <f t="shared" si="155"/>
        <v>18</v>
      </c>
      <c r="S160">
        <f t="shared" si="156"/>
        <v>1208</v>
      </c>
      <c r="T160">
        <f t="shared" si="157"/>
        <v>0</v>
      </c>
      <c r="U160">
        <f t="shared" si="158"/>
        <v>6.6645995999999998</v>
      </c>
      <c r="V160">
        <f t="shared" si="159"/>
        <v>7.3130000000000014E-2</v>
      </c>
      <c r="W160">
        <f t="shared" si="160"/>
        <v>0</v>
      </c>
      <c r="X160">
        <f t="shared" si="161"/>
        <v>809</v>
      </c>
      <c r="Y160">
        <f t="shared" si="162"/>
        <v>515</v>
      </c>
      <c r="AA160">
        <v>48370320</v>
      </c>
      <c r="AB160">
        <f t="shared" si="163"/>
        <v>3857.97</v>
      </c>
      <c r="AC160">
        <f t="shared" si="185"/>
        <v>1738.4</v>
      </c>
      <c r="AD160">
        <f>ROUND(((((ET160*1.25))-((EU160*1.25)))+AE160),2)</f>
        <v>82.64</v>
      </c>
      <c r="AE160">
        <f>ROUND(((EU160*1.25)),2)</f>
        <v>31.16</v>
      </c>
      <c r="AF160">
        <f>ROUND(((EV160*1.15)),2)</f>
        <v>2036.93</v>
      </c>
      <c r="AG160">
        <f t="shared" si="164"/>
        <v>0</v>
      </c>
      <c r="AH160">
        <f>((EW160*1.15))</f>
        <v>234.66899999999998</v>
      </c>
      <c r="AI160">
        <f>((EX160*1.25))</f>
        <v>2.5750000000000002</v>
      </c>
      <c r="AJ160">
        <f t="shared" si="165"/>
        <v>0</v>
      </c>
      <c r="AK160">
        <v>3575.75</v>
      </c>
      <c r="AL160">
        <v>1738.4</v>
      </c>
      <c r="AM160">
        <v>66.11</v>
      </c>
      <c r="AN160">
        <v>24.93</v>
      </c>
      <c r="AO160">
        <v>1771.24</v>
      </c>
      <c r="AP160">
        <v>0</v>
      </c>
      <c r="AQ160">
        <v>204.06</v>
      </c>
      <c r="AR160">
        <v>2.06</v>
      </c>
      <c r="AS160">
        <v>0</v>
      </c>
      <c r="AT160">
        <v>66</v>
      </c>
      <c r="AU160">
        <v>42</v>
      </c>
      <c r="AV160">
        <v>1</v>
      </c>
      <c r="AW160">
        <v>1</v>
      </c>
      <c r="AZ160">
        <v>1</v>
      </c>
      <c r="BA160">
        <v>20.88</v>
      </c>
      <c r="BB160">
        <v>10.210000000000001</v>
      </c>
      <c r="BC160">
        <v>7.43</v>
      </c>
      <c r="BD160" t="s">
        <v>3</v>
      </c>
      <c r="BE160" t="s">
        <v>3</v>
      </c>
      <c r="BF160" t="s">
        <v>3</v>
      </c>
      <c r="BG160" t="s">
        <v>3</v>
      </c>
      <c r="BH160">
        <v>0</v>
      </c>
      <c r="BI160">
        <v>1</v>
      </c>
      <c r="BJ160" t="s">
        <v>362</v>
      </c>
      <c r="BM160">
        <v>15001</v>
      </c>
      <c r="BN160">
        <v>0</v>
      </c>
      <c r="BO160" t="s">
        <v>360</v>
      </c>
      <c r="BP160">
        <v>1</v>
      </c>
      <c r="BQ160">
        <v>2</v>
      </c>
      <c r="BR160">
        <v>0</v>
      </c>
      <c r="BS160">
        <v>20.88</v>
      </c>
      <c r="BT160">
        <v>1</v>
      </c>
      <c r="BU160">
        <v>1</v>
      </c>
      <c r="BV160">
        <v>1</v>
      </c>
      <c r="BW160">
        <v>1</v>
      </c>
      <c r="BX160">
        <v>1</v>
      </c>
      <c r="BY160" t="s">
        <v>3</v>
      </c>
      <c r="BZ160">
        <v>105</v>
      </c>
      <c r="CA160">
        <v>55</v>
      </c>
      <c r="CF160">
        <v>0</v>
      </c>
      <c r="CG160">
        <v>0</v>
      </c>
      <c r="CM160">
        <v>0</v>
      </c>
      <c r="CN160" t="s">
        <v>937</v>
      </c>
      <c r="CO160">
        <v>0</v>
      </c>
      <c r="CP160">
        <f t="shared" si="166"/>
        <v>1599</v>
      </c>
      <c r="CQ160">
        <f t="shared" si="167"/>
        <v>12916.312</v>
      </c>
      <c r="CR160">
        <f t="shared" si="168"/>
        <v>843.75440000000003</v>
      </c>
      <c r="CS160">
        <f t="shared" si="169"/>
        <v>650.62079999999992</v>
      </c>
      <c r="CT160">
        <f t="shared" si="170"/>
        <v>42531.098400000003</v>
      </c>
      <c r="CU160">
        <f t="shared" si="171"/>
        <v>0</v>
      </c>
      <c r="CV160">
        <f t="shared" si="172"/>
        <v>234.66899999999998</v>
      </c>
      <c r="CW160">
        <f t="shared" si="173"/>
        <v>2.5750000000000002</v>
      </c>
      <c r="CX160">
        <f t="shared" si="174"/>
        <v>0</v>
      </c>
      <c r="CY160">
        <f t="shared" si="175"/>
        <v>809.16</v>
      </c>
      <c r="CZ160">
        <f t="shared" si="176"/>
        <v>514.91999999999996</v>
      </c>
      <c r="DC160" t="s">
        <v>3</v>
      </c>
      <c r="DD160" t="s">
        <v>3</v>
      </c>
      <c r="DE160" t="s">
        <v>160</v>
      </c>
      <c r="DF160" t="s">
        <v>160</v>
      </c>
      <c r="DG160" t="s">
        <v>161</v>
      </c>
      <c r="DH160" t="s">
        <v>3</v>
      </c>
      <c r="DI160" t="s">
        <v>161</v>
      </c>
      <c r="DJ160" t="s">
        <v>160</v>
      </c>
      <c r="DK160" t="s">
        <v>3</v>
      </c>
      <c r="DL160" t="s">
        <v>3</v>
      </c>
      <c r="DM160" t="s">
        <v>3</v>
      </c>
      <c r="DN160">
        <v>0</v>
      </c>
      <c r="DO160">
        <v>0</v>
      </c>
      <c r="DP160">
        <v>1</v>
      </c>
      <c r="DQ160">
        <v>1</v>
      </c>
      <c r="DU160">
        <v>1013</v>
      </c>
      <c r="DV160" t="s">
        <v>180</v>
      </c>
      <c r="DW160" t="s">
        <v>180</v>
      </c>
      <c r="DX160">
        <v>1</v>
      </c>
      <c r="EE160">
        <v>45269202</v>
      </c>
      <c r="EF160">
        <v>2</v>
      </c>
      <c r="EG160" t="s">
        <v>19</v>
      </c>
      <c r="EH160">
        <v>0</v>
      </c>
      <c r="EI160" t="s">
        <v>3</v>
      </c>
      <c r="EJ160">
        <v>1</v>
      </c>
      <c r="EK160">
        <v>15001</v>
      </c>
      <c r="EL160" t="s">
        <v>157</v>
      </c>
      <c r="EM160" t="s">
        <v>168</v>
      </c>
      <c r="EO160" t="s">
        <v>162</v>
      </c>
      <c r="EQ160">
        <v>0</v>
      </c>
      <c r="ER160">
        <v>3575.75</v>
      </c>
      <c r="ES160">
        <v>1738.4</v>
      </c>
      <c r="ET160">
        <v>66.11</v>
      </c>
      <c r="EU160">
        <v>24.93</v>
      </c>
      <c r="EV160">
        <v>1771.24</v>
      </c>
      <c r="EW160">
        <v>204.06</v>
      </c>
      <c r="EX160">
        <v>2.06</v>
      </c>
      <c r="EY160">
        <v>0</v>
      </c>
      <c r="FQ160">
        <v>0</v>
      </c>
      <c r="FR160">
        <f t="shared" si="177"/>
        <v>0</v>
      </c>
      <c r="FS160">
        <v>0</v>
      </c>
      <c r="FT160" t="s">
        <v>22</v>
      </c>
      <c r="FU160" t="s">
        <v>23</v>
      </c>
      <c r="FX160">
        <v>66.150000000000006</v>
      </c>
      <c r="FY160">
        <v>42.075000000000003</v>
      </c>
      <c r="GA160" t="s">
        <v>3</v>
      </c>
      <c r="GD160">
        <v>0</v>
      </c>
      <c r="GF160">
        <v>1977755504</v>
      </c>
      <c r="GG160">
        <v>2</v>
      </c>
      <c r="GH160">
        <v>1</v>
      </c>
      <c r="GI160">
        <v>2</v>
      </c>
      <c r="GJ160">
        <v>0</v>
      </c>
      <c r="GK160">
        <f>ROUND(R160*(R12)/100,0)</f>
        <v>0</v>
      </c>
      <c r="GL160">
        <f t="shared" si="178"/>
        <v>0</v>
      </c>
      <c r="GM160">
        <f t="shared" si="179"/>
        <v>2923</v>
      </c>
      <c r="GN160">
        <f t="shared" si="180"/>
        <v>2923</v>
      </c>
      <c r="GO160">
        <f t="shared" si="181"/>
        <v>0</v>
      </c>
      <c r="GP160">
        <f t="shared" si="182"/>
        <v>0</v>
      </c>
      <c r="GR160">
        <v>0</v>
      </c>
      <c r="GS160">
        <v>3</v>
      </c>
      <c r="GT160">
        <v>0</v>
      </c>
      <c r="GU160" t="s">
        <v>3</v>
      </c>
      <c r="GV160">
        <f t="shared" si="183"/>
        <v>0</v>
      </c>
      <c r="GW160">
        <v>1</v>
      </c>
      <c r="GX160">
        <f t="shared" si="184"/>
        <v>0</v>
      </c>
      <c r="HA160">
        <v>0</v>
      </c>
      <c r="HB160">
        <v>0</v>
      </c>
      <c r="IK160">
        <v>0</v>
      </c>
    </row>
    <row r="161" spans="1:245">
      <c r="A161">
        <v>17</v>
      </c>
      <c r="B161">
        <v>1</v>
      </c>
      <c r="C161">
        <f>ROW(SmtRes!A345)</f>
        <v>345</v>
      </c>
      <c r="D161">
        <f>ROW(EtalonRes!A346)</f>
        <v>346</v>
      </c>
      <c r="E161" t="s">
        <v>363</v>
      </c>
      <c r="F161" t="s">
        <v>291</v>
      </c>
      <c r="G161" t="s">
        <v>292</v>
      </c>
      <c r="H161" t="s">
        <v>293</v>
      </c>
      <c r="I161">
        <f>ROUND(1.5/100,9)</f>
        <v>1.4999999999999999E-2</v>
      </c>
      <c r="J161">
        <v>0</v>
      </c>
      <c r="O161">
        <f t="shared" si="152"/>
        <v>661</v>
      </c>
      <c r="P161">
        <f t="shared" si="153"/>
        <v>443</v>
      </c>
      <c r="Q161">
        <f t="shared" si="154"/>
        <v>1</v>
      </c>
      <c r="R161">
        <f t="shared" si="155"/>
        <v>0</v>
      </c>
      <c r="S161">
        <f t="shared" si="156"/>
        <v>217</v>
      </c>
      <c r="T161">
        <f t="shared" si="157"/>
        <v>0</v>
      </c>
      <c r="U161">
        <f t="shared" si="158"/>
        <v>1.2247499999999998</v>
      </c>
      <c r="V161">
        <f t="shared" si="159"/>
        <v>0</v>
      </c>
      <c r="W161">
        <f t="shared" si="160"/>
        <v>0</v>
      </c>
      <c r="X161">
        <f t="shared" si="161"/>
        <v>161</v>
      </c>
      <c r="Y161">
        <f t="shared" si="162"/>
        <v>104</v>
      </c>
      <c r="AA161">
        <v>48370320</v>
      </c>
      <c r="AB161">
        <f t="shared" si="163"/>
        <v>5947.16</v>
      </c>
      <c r="AC161">
        <f t="shared" si="185"/>
        <v>5231.84</v>
      </c>
      <c r="AD161">
        <f>ROUND(((((ET161*1.25))-((EU161*1.25)))+AE161),2)</f>
        <v>22.93</v>
      </c>
      <c r="AE161">
        <f>ROUND(((EU161*1.25)),2)</f>
        <v>0</v>
      </c>
      <c r="AF161">
        <f>ROUND(((EV161*1.15)),2)</f>
        <v>692.39</v>
      </c>
      <c r="AG161">
        <f t="shared" si="164"/>
        <v>0</v>
      </c>
      <c r="AH161">
        <f>((EW161*1.15))</f>
        <v>81.649999999999991</v>
      </c>
      <c r="AI161">
        <f>((EX161*1.25))</f>
        <v>0</v>
      </c>
      <c r="AJ161">
        <f t="shared" si="165"/>
        <v>0</v>
      </c>
      <c r="AK161">
        <v>5852.26</v>
      </c>
      <c r="AL161">
        <v>5231.84</v>
      </c>
      <c r="AM161">
        <v>18.34</v>
      </c>
      <c r="AN161">
        <v>0</v>
      </c>
      <c r="AO161">
        <v>602.08000000000004</v>
      </c>
      <c r="AP161">
        <v>0</v>
      </c>
      <c r="AQ161">
        <v>71</v>
      </c>
      <c r="AR161">
        <v>0</v>
      </c>
      <c r="AS161">
        <v>0</v>
      </c>
      <c r="AT161">
        <v>74</v>
      </c>
      <c r="AU161">
        <v>48</v>
      </c>
      <c r="AV161">
        <v>1</v>
      </c>
      <c r="AW161">
        <v>1</v>
      </c>
      <c r="AZ161">
        <v>1</v>
      </c>
      <c r="BA161">
        <v>20.88</v>
      </c>
      <c r="BB161">
        <v>3.57</v>
      </c>
      <c r="BC161">
        <v>5.65</v>
      </c>
      <c r="BD161" t="s">
        <v>3</v>
      </c>
      <c r="BE161" t="s">
        <v>3</v>
      </c>
      <c r="BF161" t="s">
        <v>3</v>
      </c>
      <c r="BG161" t="s">
        <v>3</v>
      </c>
      <c r="BH161">
        <v>0</v>
      </c>
      <c r="BI161">
        <v>1</v>
      </c>
      <c r="BJ161" t="s">
        <v>294</v>
      </c>
      <c r="BM161">
        <v>10001</v>
      </c>
      <c r="BN161">
        <v>0</v>
      </c>
      <c r="BO161" t="s">
        <v>291</v>
      </c>
      <c r="BP161">
        <v>1</v>
      </c>
      <c r="BQ161">
        <v>2</v>
      </c>
      <c r="BR161">
        <v>0</v>
      </c>
      <c r="BS161">
        <v>20.88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3</v>
      </c>
      <c r="BZ161">
        <v>118</v>
      </c>
      <c r="CA161">
        <v>63</v>
      </c>
      <c r="CF161">
        <v>0</v>
      </c>
      <c r="CG161">
        <v>0</v>
      </c>
      <c r="CM161">
        <v>0</v>
      </c>
      <c r="CN161" t="s">
        <v>937</v>
      </c>
      <c r="CO161">
        <v>0</v>
      </c>
      <c r="CP161">
        <f t="shared" si="166"/>
        <v>661</v>
      </c>
      <c r="CQ161">
        <f t="shared" si="167"/>
        <v>29559.896000000004</v>
      </c>
      <c r="CR161">
        <f t="shared" si="168"/>
        <v>81.860099999999989</v>
      </c>
      <c r="CS161">
        <f t="shared" si="169"/>
        <v>0</v>
      </c>
      <c r="CT161">
        <f t="shared" si="170"/>
        <v>14457.1032</v>
      </c>
      <c r="CU161">
        <f t="shared" si="171"/>
        <v>0</v>
      </c>
      <c r="CV161">
        <f t="shared" si="172"/>
        <v>81.649999999999991</v>
      </c>
      <c r="CW161">
        <f t="shared" si="173"/>
        <v>0</v>
      </c>
      <c r="CX161">
        <f t="shared" si="174"/>
        <v>0</v>
      </c>
      <c r="CY161">
        <f t="shared" si="175"/>
        <v>160.58000000000001</v>
      </c>
      <c r="CZ161">
        <f t="shared" si="176"/>
        <v>104.16</v>
      </c>
      <c r="DC161" t="s">
        <v>3</v>
      </c>
      <c r="DD161" t="s">
        <v>3</v>
      </c>
      <c r="DE161" t="s">
        <v>160</v>
      </c>
      <c r="DF161" t="s">
        <v>160</v>
      </c>
      <c r="DG161" t="s">
        <v>161</v>
      </c>
      <c r="DH161" t="s">
        <v>3</v>
      </c>
      <c r="DI161" t="s">
        <v>161</v>
      </c>
      <c r="DJ161" t="s">
        <v>160</v>
      </c>
      <c r="DK161" t="s">
        <v>3</v>
      </c>
      <c r="DL161" t="s">
        <v>3</v>
      </c>
      <c r="DM161" t="s">
        <v>3</v>
      </c>
      <c r="DN161">
        <v>0</v>
      </c>
      <c r="DO161">
        <v>0</v>
      </c>
      <c r="DP161">
        <v>1</v>
      </c>
      <c r="DQ161">
        <v>1</v>
      </c>
      <c r="DU161">
        <v>1005</v>
      </c>
      <c r="DV161" t="s">
        <v>293</v>
      </c>
      <c r="DW161" t="s">
        <v>293</v>
      </c>
      <c r="DX161">
        <v>100</v>
      </c>
      <c r="EE161">
        <v>45269176</v>
      </c>
      <c r="EF161">
        <v>2</v>
      </c>
      <c r="EG161" t="s">
        <v>19</v>
      </c>
      <c r="EH161">
        <v>0</v>
      </c>
      <c r="EI161" t="s">
        <v>3</v>
      </c>
      <c r="EJ161">
        <v>1</v>
      </c>
      <c r="EK161">
        <v>10001</v>
      </c>
      <c r="EL161" t="s">
        <v>242</v>
      </c>
      <c r="EM161" t="s">
        <v>243</v>
      </c>
      <c r="EO161" t="s">
        <v>162</v>
      </c>
      <c r="EQ161">
        <v>0</v>
      </c>
      <c r="ER161">
        <v>5852.26</v>
      </c>
      <c r="ES161">
        <v>5231.84</v>
      </c>
      <c r="ET161">
        <v>18.34</v>
      </c>
      <c r="EU161">
        <v>0</v>
      </c>
      <c r="EV161">
        <v>602.08000000000004</v>
      </c>
      <c r="EW161">
        <v>71</v>
      </c>
      <c r="EX161">
        <v>0</v>
      </c>
      <c r="EY161">
        <v>0</v>
      </c>
      <c r="FQ161">
        <v>0</v>
      </c>
      <c r="FR161">
        <f t="shared" si="177"/>
        <v>0</v>
      </c>
      <c r="FS161">
        <v>0</v>
      </c>
      <c r="FT161" t="s">
        <v>22</v>
      </c>
      <c r="FU161" t="s">
        <v>23</v>
      </c>
      <c r="FX161">
        <v>74.34</v>
      </c>
      <c r="FY161">
        <v>48.195</v>
      </c>
      <c r="GA161" t="s">
        <v>3</v>
      </c>
      <c r="GD161">
        <v>0</v>
      </c>
      <c r="GF161">
        <v>1329613315</v>
      </c>
      <c r="GG161">
        <v>2</v>
      </c>
      <c r="GH161">
        <v>1</v>
      </c>
      <c r="GI161">
        <v>2</v>
      </c>
      <c r="GJ161">
        <v>0</v>
      </c>
      <c r="GK161">
        <f>ROUND(R161*(R12)/100,0)</f>
        <v>0</v>
      </c>
      <c r="GL161">
        <f t="shared" si="178"/>
        <v>0</v>
      </c>
      <c r="GM161">
        <f t="shared" si="179"/>
        <v>926</v>
      </c>
      <c r="GN161">
        <f t="shared" si="180"/>
        <v>926</v>
      </c>
      <c r="GO161">
        <f t="shared" si="181"/>
        <v>0</v>
      </c>
      <c r="GP161">
        <f t="shared" si="182"/>
        <v>0</v>
      </c>
      <c r="GR161">
        <v>0</v>
      </c>
      <c r="GS161">
        <v>3</v>
      </c>
      <c r="GT161">
        <v>0</v>
      </c>
      <c r="GU161" t="s">
        <v>3</v>
      </c>
      <c r="GV161">
        <f t="shared" si="183"/>
        <v>0</v>
      </c>
      <c r="GW161">
        <v>1</v>
      </c>
      <c r="GX161">
        <f t="shared" si="184"/>
        <v>0</v>
      </c>
      <c r="HA161">
        <v>0</v>
      </c>
      <c r="HB161">
        <v>0</v>
      </c>
      <c r="IK161">
        <v>0</v>
      </c>
    </row>
    <row r="162" spans="1:245">
      <c r="A162">
        <v>17</v>
      </c>
      <c r="B162">
        <v>1</v>
      </c>
      <c r="C162">
        <f>ROW(SmtRes!A355)</f>
        <v>355</v>
      </c>
      <c r="D162">
        <f>ROW(EtalonRes!A356)</f>
        <v>356</v>
      </c>
      <c r="E162" t="s">
        <v>364</v>
      </c>
      <c r="F162" t="s">
        <v>183</v>
      </c>
      <c r="G162" t="s">
        <v>184</v>
      </c>
      <c r="H162" t="s">
        <v>41</v>
      </c>
      <c r="I162">
        <f>ROUND(2/100,9)</f>
        <v>0.02</v>
      </c>
      <c r="J162">
        <v>0</v>
      </c>
      <c r="O162">
        <f t="shared" si="152"/>
        <v>1322</v>
      </c>
      <c r="P162">
        <f t="shared" si="153"/>
        <v>654</v>
      </c>
      <c r="Q162">
        <f t="shared" si="154"/>
        <v>10</v>
      </c>
      <c r="R162">
        <f t="shared" si="155"/>
        <v>8</v>
      </c>
      <c r="S162">
        <f t="shared" si="156"/>
        <v>658</v>
      </c>
      <c r="T162">
        <f t="shared" si="157"/>
        <v>0</v>
      </c>
      <c r="U162">
        <f t="shared" si="158"/>
        <v>3.6724099999999993</v>
      </c>
      <c r="V162">
        <f t="shared" si="159"/>
        <v>4.1250000000000002E-2</v>
      </c>
      <c r="W162">
        <f t="shared" si="160"/>
        <v>0</v>
      </c>
      <c r="X162">
        <f t="shared" si="161"/>
        <v>440</v>
      </c>
      <c r="Y162">
        <f t="shared" si="162"/>
        <v>280</v>
      </c>
      <c r="AA162">
        <v>48370320</v>
      </c>
      <c r="AB162">
        <f t="shared" si="163"/>
        <v>10721.96</v>
      </c>
      <c r="AC162">
        <f t="shared" si="185"/>
        <v>9108.5400000000009</v>
      </c>
      <c r="AD162">
        <f>ROUND(((((ET162*1.25))-((EU162*1.25)))+AE162),2)</f>
        <v>37.950000000000003</v>
      </c>
      <c r="AE162">
        <f>ROUND(((EU162*1.25)),2)</f>
        <v>19.61</v>
      </c>
      <c r="AF162">
        <f>ROUND(((EV162*1.15)),2)</f>
        <v>1575.47</v>
      </c>
      <c r="AG162">
        <f t="shared" si="164"/>
        <v>0</v>
      </c>
      <c r="AH162">
        <f>((EW162*1.15))</f>
        <v>183.62049999999996</v>
      </c>
      <c r="AI162">
        <f>((EX162*1.25))</f>
        <v>2.0625</v>
      </c>
      <c r="AJ162">
        <f t="shared" si="165"/>
        <v>0</v>
      </c>
      <c r="AK162">
        <v>10508.87</v>
      </c>
      <c r="AL162">
        <v>9108.5400000000009</v>
      </c>
      <c r="AM162">
        <v>30.36</v>
      </c>
      <c r="AN162">
        <v>15.69</v>
      </c>
      <c r="AO162">
        <v>1369.97</v>
      </c>
      <c r="AP162">
        <v>0</v>
      </c>
      <c r="AQ162">
        <v>159.66999999999999</v>
      </c>
      <c r="AR162">
        <v>1.65</v>
      </c>
      <c r="AS162">
        <v>0</v>
      </c>
      <c r="AT162">
        <v>66</v>
      </c>
      <c r="AU162">
        <v>42</v>
      </c>
      <c r="AV162">
        <v>1</v>
      </c>
      <c r="AW162">
        <v>1</v>
      </c>
      <c r="AZ162">
        <v>1</v>
      </c>
      <c r="BA162">
        <v>20.88</v>
      </c>
      <c r="BB162">
        <v>13.63</v>
      </c>
      <c r="BC162">
        <v>3.59</v>
      </c>
      <c r="BD162" t="s">
        <v>3</v>
      </c>
      <c r="BE162" t="s">
        <v>3</v>
      </c>
      <c r="BF162" t="s">
        <v>3</v>
      </c>
      <c r="BG162" t="s">
        <v>3</v>
      </c>
      <c r="BH162">
        <v>0</v>
      </c>
      <c r="BI162">
        <v>1</v>
      </c>
      <c r="BJ162" t="s">
        <v>185</v>
      </c>
      <c r="BM162">
        <v>15001</v>
      </c>
      <c r="BN162">
        <v>0</v>
      </c>
      <c r="BO162" t="s">
        <v>183</v>
      </c>
      <c r="BP162">
        <v>1</v>
      </c>
      <c r="BQ162">
        <v>2</v>
      </c>
      <c r="BR162">
        <v>0</v>
      </c>
      <c r="BS162">
        <v>20.88</v>
      </c>
      <c r="BT162">
        <v>1</v>
      </c>
      <c r="BU162">
        <v>1</v>
      </c>
      <c r="BV162">
        <v>1</v>
      </c>
      <c r="BW162">
        <v>1</v>
      </c>
      <c r="BX162">
        <v>1</v>
      </c>
      <c r="BY162" t="s">
        <v>3</v>
      </c>
      <c r="BZ162">
        <v>105</v>
      </c>
      <c r="CA162">
        <v>55</v>
      </c>
      <c r="CF162">
        <v>0</v>
      </c>
      <c r="CG162">
        <v>0</v>
      </c>
      <c r="CM162">
        <v>0</v>
      </c>
      <c r="CN162" t="s">
        <v>937</v>
      </c>
      <c r="CO162">
        <v>0</v>
      </c>
      <c r="CP162">
        <f t="shared" si="166"/>
        <v>1322</v>
      </c>
      <c r="CQ162">
        <f t="shared" si="167"/>
        <v>32699.658600000002</v>
      </c>
      <c r="CR162">
        <f t="shared" si="168"/>
        <v>517.25850000000003</v>
      </c>
      <c r="CS162">
        <f t="shared" si="169"/>
        <v>409.45679999999999</v>
      </c>
      <c r="CT162">
        <f t="shared" si="170"/>
        <v>32895.813600000001</v>
      </c>
      <c r="CU162">
        <f t="shared" si="171"/>
        <v>0</v>
      </c>
      <c r="CV162">
        <f t="shared" si="172"/>
        <v>183.62049999999996</v>
      </c>
      <c r="CW162">
        <f t="shared" si="173"/>
        <v>2.0625</v>
      </c>
      <c r="CX162">
        <f t="shared" si="174"/>
        <v>0</v>
      </c>
      <c r="CY162">
        <f t="shared" si="175"/>
        <v>439.56</v>
      </c>
      <c r="CZ162">
        <f t="shared" si="176"/>
        <v>279.72000000000003</v>
      </c>
      <c r="DC162" t="s">
        <v>3</v>
      </c>
      <c r="DD162" t="s">
        <v>3</v>
      </c>
      <c r="DE162" t="s">
        <v>160</v>
      </c>
      <c r="DF162" t="s">
        <v>160</v>
      </c>
      <c r="DG162" t="s">
        <v>161</v>
      </c>
      <c r="DH162" t="s">
        <v>3</v>
      </c>
      <c r="DI162" t="s">
        <v>161</v>
      </c>
      <c r="DJ162" t="s">
        <v>160</v>
      </c>
      <c r="DK162" t="s">
        <v>3</v>
      </c>
      <c r="DL162" t="s">
        <v>3</v>
      </c>
      <c r="DM162" t="s">
        <v>3</v>
      </c>
      <c r="DN162">
        <v>0</v>
      </c>
      <c r="DO162">
        <v>0</v>
      </c>
      <c r="DP162">
        <v>1</v>
      </c>
      <c r="DQ162">
        <v>1</v>
      </c>
      <c r="DU162">
        <v>1013</v>
      </c>
      <c r="DV162" t="s">
        <v>41</v>
      </c>
      <c r="DW162" t="s">
        <v>41</v>
      </c>
      <c r="DX162">
        <v>1</v>
      </c>
      <c r="EE162">
        <v>45269202</v>
      </c>
      <c r="EF162">
        <v>2</v>
      </c>
      <c r="EG162" t="s">
        <v>19</v>
      </c>
      <c r="EH162">
        <v>0</v>
      </c>
      <c r="EI162" t="s">
        <v>3</v>
      </c>
      <c r="EJ162">
        <v>1</v>
      </c>
      <c r="EK162">
        <v>15001</v>
      </c>
      <c r="EL162" t="s">
        <v>157</v>
      </c>
      <c r="EM162" t="s">
        <v>168</v>
      </c>
      <c r="EO162" t="s">
        <v>162</v>
      </c>
      <c r="EQ162">
        <v>0</v>
      </c>
      <c r="ER162">
        <v>10508.87</v>
      </c>
      <c r="ES162">
        <v>9108.5400000000009</v>
      </c>
      <c r="ET162">
        <v>30.36</v>
      </c>
      <c r="EU162">
        <v>15.69</v>
      </c>
      <c r="EV162">
        <v>1369.97</v>
      </c>
      <c r="EW162">
        <v>159.66999999999999</v>
      </c>
      <c r="EX162">
        <v>1.65</v>
      </c>
      <c r="EY162">
        <v>0</v>
      </c>
      <c r="FQ162">
        <v>0</v>
      </c>
      <c r="FR162">
        <f t="shared" si="177"/>
        <v>0</v>
      </c>
      <c r="FS162">
        <v>0</v>
      </c>
      <c r="FT162" t="s">
        <v>22</v>
      </c>
      <c r="FU162" t="s">
        <v>23</v>
      </c>
      <c r="FX162">
        <v>66.150000000000006</v>
      </c>
      <c r="FY162">
        <v>42.075000000000003</v>
      </c>
      <c r="GA162" t="s">
        <v>3</v>
      </c>
      <c r="GD162">
        <v>0</v>
      </c>
      <c r="GF162">
        <v>1241905632</v>
      </c>
      <c r="GG162">
        <v>2</v>
      </c>
      <c r="GH162">
        <v>1</v>
      </c>
      <c r="GI162">
        <v>2</v>
      </c>
      <c r="GJ162">
        <v>0</v>
      </c>
      <c r="GK162">
        <f>ROUND(R162*(R12)/100,0)</f>
        <v>0</v>
      </c>
      <c r="GL162">
        <f t="shared" si="178"/>
        <v>0</v>
      </c>
      <c r="GM162">
        <f t="shared" si="179"/>
        <v>2042</v>
      </c>
      <c r="GN162">
        <f t="shared" si="180"/>
        <v>2042</v>
      </c>
      <c r="GO162">
        <f t="shared" si="181"/>
        <v>0</v>
      </c>
      <c r="GP162">
        <f t="shared" si="182"/>
        <v>0</v>
      </c>
      <c r="GR162">
        <v>0</v>
      </c>
      <c r="GS162">
        <v>3</v>
      </c>
      <c r="GT162">
        <v>0</v>
      </c>
      <c r="GU162" t="s">
        <v>3</v>
      </c>
      <c r="GV162">
        <f t="shared" si="183"/>
        <v>0</v>
      </c>
      <c r="GW162">
        <v>1</v>
      </c>
      <c r="GX162">
        <f t="shared" si="184"/>
        <v>0</v>
      </c>
      <c r="HA162">
        <v>0</v>
      </c>
      <c r="HB162">
        <v>0</v>
      </c>
      <c r="IK162">
        <v>0</v>
      </c>
    </row>
    <row r="163" spans="1:245">
      <c r="A163">
        <v>18</v>
      </c>
      <c r="B163">
        <v>1</v>
      </c>
      <c r="C163">
        <v>351</v>
      </c>
      <c r="E163" t="s">
        <v>365</v>
      </c>
      <c r="F163" t="s">
        <v>187</v>
      </c>
      <c r="G163" t="s">
        <v>188</v>
      </c>
      <c r="H163" t="s">
        <v>189</v>
      </c>
      <c r="I163">
        <f>I162*J163</f>
        <v>-2</v>
      </c>
      <c r="J163">
        <v>-100</v>
      </c>
      <c r="O163">
        <f t="shared" si="152"/>
        <v>-514</v>
      </c>
      <c r="P163">
        <f t="shared" si="153"/>
        <v>-514</v>
      </c>
      <c r="Q163">
        <f t="shared" si="154"/>
        <v>0</v>
      </c>
      <c r="R163">
        <f t="shared" si="155"/>
        <v>0</v>
      </c>
      <c r="S163">
        <f t="shared" si="156"/>
        <v>0</v>
      </c>
      <c r="T163">
        <f t="shared" si="157"/>
        <v>0</v>
      </c>
      <c r="U163">
        <f t="shared" si="158"/>
        <v>0</v>
      </c>
      <c r="V163">
        <f t="shared" si="159"/>
        <v>0</v>
      </c>
      <c r="W163">
        <f t="shared" si="160"/>
        <v>0</v>
      </c>
      <c r="X163">
        <f t="shared" si="161"/>
        <v>0</v>
      </c>
      <c r="Y163">
        <f t="shared" si="162"/>
        <v>0</v>
      </c>
      <c r="AA163">
        <v>48370320</v>
      </c>
      <c r="AB163">
        <f t="shared" si="163"/>
        <v>68</v>
      </c>
      <c r="AC163">
        <f t="shared" si="185"/>
        <v>68</v>
      </c>
      <c r="AD163">
        <f>ROUND((((ET163)-(EU163))+AE163),2)</f>
        <v>0</v>
      </c>
      <c r="AE163">
        <f t="shared" ref="AE163:AF165" si="186">ROUND((EU163),2)</f>
        <v>0</v>
      </c>
      <c r="AF163">
        <f t="shared" si="186"/>
        <v>0</v>
      </c>
      <c r="AG163">
        <f t="shared" si="164"/>
        <v>0</v>
      </c>
      <c r="AH163">
        <f t="shared" ref="AH163:AI165" si="187">(EW163)</f>
        <v>0</v>
      </c>
      <c r="AI163">
        <f t="shared" si="187"/>
        <v>0</v>
      </c>
      <c r="AJ163">
        <f t="shared" si="165"/>
        <v>0</v>
      </c>
      <c r="AK163">
        <v>68</v>
      </c>
      <c r="AL163">
        <v>68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66</v>
      </c>
      <c r="AU163">
        <v>42</v>
      </c>
      <c r="AV163">
        <v>1</v>
      </c>
      <c r="AW163">
        <v>1</v>
      </c>
      <c r="AZ163">
        <v>1</v>
      </c>
      <c r="BA163">
        <v>1</v>
      </c>
      <c r="BB163">
        <v>1</v>
      </c>
      <c r="BC163">
        <v>3.78</v>
      </c>
      <c r="BD163" t="s">
        <v>3</v>
      </c>
      <c r="BE163" t="s">
        <v>3</v>
      </c>
      <c r="BF163" t="s">
        <v>3</v>
      </c>
      <c r="BG163" t="s">
        <v>3</v>
      </c>
      <c r="BH163">
        <v>3</v>
      </c>
      <c r="BI163">
        <v>1</v>
      </c>
      <c r="BJ163" t="s">
        <v>190</v>
      </c>
      <c r="BM163">
        <v>15001</v>
      </c>
      <c r="BN163">
        <v>0</v>
      </c>
      <c r="BO163" t="s">
        <v>187</v>
      </c>
      <c r="BP163">
        <v>1</v>
      </c>
      <c r="BQ163">
        <v>2</v>
      </c>
      <c r="BR163">
        <v>1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3</v>
      </c>
      <c r="BZ163">
        <v>105</v>
      </c>
      <c r="CA163">
        <v>55</v>
      </c>
      <c r="CF163">
        <v>0</v>
      </c>
      <c r="CG163">
        <v>0</v>
      </c>
      <c r="CM163">
        <v>0</v>
      </c>
      <c r="CN163" t="s">
        <v>3</v>
      </c>
      <c r="CO163">
        <v>0</v>
      </c>
      <c r="CP163">
        <f t="shared" si="166"/>
        <v>-514</v>
      </c>
      <c r="CQ163">
        <f t="shared" si="167"/>
        <v>257.03999999999996</v>
      </c>
      <c r="CR163">
        <f t="shared" si="168"/>
        <v>0</v>
      </c>
      <c r="CS163">
        <f t="shared" si="169"/>
        <v>0</v>
      </c>
      <c r="CT163">
        <f t="shared" si="170"/>
        <v>0</v>
      </c>
      <c r="CU163">
        <f t="shared" si="171"/>
        <v>0</v>
      </c>
      <c r="CV163">
        <f t="shared" si="172"/>
        <v>0</v>
      </c>
      <c r="CW163">
        <f t="shared" si="173"/>
        <v>0</v>
      </c>
      <c r="CX163">
        <f t="shared" si="174"/>
        <v>0</v>
      </c>
      <c r="CY163">
        <f t="shared" si="175"/>
        <v>0</v>
      </c>
      <c r="CZ163">
        <f t="shared" si="176"/>
        <v>0</v>
      </c>
      <c r="DC163" t="s">
        <v>3</v>
      </c>
      <c r="DD163" t="s">
        <v>3</v>
      </c>
      <c r="DE163" t="s">
        <v>3</v>
      </c>
      <c r="DF163" t="s">
        <v>3</v>
      </c>
      <c r="DG163" t="s">
        <v>3</v>
      </c>
      <c r="DH163" t="s">
        <v>3</v>
      </c>
      <c r="DI163" t="s">
        <v>3</v>
      </c>
      <c r="DJ163" t="s">
        <v>3</v>
      </c>
      <c r="DK163" t="s">
        <v>3</v>
      </c>
      <c r="DL163" t="s">
        <v>3</v>
      </c>
      <c r="DM163" t="s">
        <v>3</v>
      </c>
      <c r="DN163">
        <v>0</v>
      </c>
      <c r="DO163">
        <v>0</v>
      </c>
      <c r="DP163">
        <v>1</v>
      </c>
      <c r="DQ163">
        <v>1</v>
      </c>
      <c r="DU163">
        <v>1005</v>
      </c>
      <c r="DV163" t="s">
        <v>189</v>
      </c>
      <c r="DW163" t="s">
        <v>189</v>
      </c>
      <c r="DX163">
        <v>1</v>
      </c>
      <c r="EE163">
        <v>45269202</v>
      </c>
      <c r="EF163">
        <v>2</v>
      </c>
      <c r="EG163" t="s">
        <v>19</v>
      </c>
      <c r="EH163">
        <v>0</v>
      </c>
      <c r="EI163" t="s">
        <v>3</v>
      </c>
      <c r="EJ163">
        <v>1</v>
      </c>
      <c r="EK163">
        <v>15001</v>
      </c>
      <c r="EL163" t="s">
        <v>157</v>
      </c>
      <c r="EM163" t="s">
        <v>168</v>
      </c>
      <c r="EO163" t="s">
        <v>3</v>
      </c>
      <c r="EQ163">
        <v>0</v>
      </c>
      <c r="ER163">
        <v>68</v>
      </c>
      <c r="ES163">
        <v>68</v>
      </c>
      <c r="ET163">
        <v>0</v>
      </c>
      <c r="EU163">
        <v>0</v>
      </c>
      <c r="EV163">
        <v>0</v>
      </c>
      <c r="EW163">
        <v>0</v>
      </c>
      <c r="EX163">
        <v>0</v>
      </c>
      <c r="FQ163">
        <v>0</v>
      </c>
      <c r="FR163">
        <f t="shared" si="177"/>
        <v>0</v>
      </c>
      <c r="FS163">
        <v>0</v>
      </c>
      <c r="FT163" t="s">
        <v>22</v>
      </c>
      <c r="FU163" t="s">
        <v>23</v>
      </c>
      <c r="FX163">
        <v>66.150000000000006</v>
      </c>
      <c r="FY163">
        <v>42.075000000000003</v>
      </c>
      <c r="GA163" t="s">
        <v>3</v>
      </c>
      <c r="GD163">
        <v>0</v>
      </c>
      <c r="GF163">
        <v>-1026179426</v>
      </c>
      <c r="GG163">
        <v>2</v>
      </c>
      <c r="GH163">
        <v>1</v>
      </c>
      <c r="GI163">
        <v>2</v>
      </c>
      <c r="GJ163">
        <v>0</v>
      </c>
      <c r="GK163">
        <f>ROUND(R163*(R12)/100,0)</f>
        <v>0</v>
      </c>
      <c r="GL163">
        <f t="shared" si="178"/>
        <v>0</v>
      </c>
      <c r="GM163">
        <f t="shared" si="179"/>
        <v>-514</v>
      </c>
      <c r="GN163">
        <f t="shared" si="180"/>
        <v>-514</v>
      </c>
      <c r="GO163">
        <f t="shared" si="181"/>
        <v>0</v>
      </c>
      <c r="GP163">
        <f t="shared" si="182"/>
        <v>0</v>
      </c>
      <c r="GR163">
        <v>0</v>
      </c>
      <c r="GS163">
        <v>3</v>
      </c>
      <c r="GT163">
        <v>0</v>
      </c>
      <c r="GU163" t="s">
        <v>3</v>
      </c>
      <c r="GV163">
        <f t="shared" si="183"/>
        <v>0</v>
      </c>
      <c r="GW163">
        <v>1</v>
      </c>
      <c r="GX163">
        <f t="shared" si="184"/>
        <v>0</v>
      </c>
      <c r="HA163">
        <v>0</v>
      </c>
      <c r="HB163">
        <v>0</v>
      </c>
      <c r="IK163">
        <v>0</v>
      </c>
    </row>
    <row r="164" spans="1:245">
      <c r="A164">
        <v>17</v>
      </c>
      <c r="B164">
        <v>1</v>
      </c>
      <c r="E164" t="s">
        <v>366</v>
      </c>
      <c r="F164" t="s">
        <v>192</v>
      </c>
      <c r="G164" t="s">
        <v>193</v>
      </c>
      <c r="H164" t="s">
        <v>189</v>
      </c>
      <c r="I164">
        <v>2</v>
      </c>
      <c r="J164">
        <v>0</v>
      </c>
      <c r="O164">
        <f t="shared" si="152"/>
        <v>788</v>
      </c>
      <c r="P164">
        <f t="shared" si="153"/>
        <v>788</v>
      </c>
      <c r="Q164">
        <f t="shared" si="154"/>
        <v>0</v>
      </c>
      <c r="R164">
        <f t="shared" si="155"/>
        <v>0</v>
      </c>
      <c r="S164">
        <f t="shared" si="156"/>
        <v>0</v>
      </c>
      <c r="T164">
        <f t="shared" si="157"/>
        <v>0</v>
      </c>
      <c r="U164">
        <f t="shared" si="158"/>
        <v>0</v>
      </c>
      <c r="V164">
        <f t="shared" si="159"/>
        <v>0</v>
      </c>
      <c r="W164">
        <f t="shared" si="160"/>
        <v>0</v>
      </c>
      <c r="X164">
        <f t="shared" si="161"/>
        <v>0</v>
      </c>
      <c r="Y164">
        <f t="shared" si="162"/>
        <v>0</v>
      </c>
      <c r="AA164">
        <v>48370320</v>
      </c>
      <c r="AB164">
        <f t="shared" si="163"/>
        <v>110.96</v>
      </c>
      <c r="AC164">
        <f t="shared" si="185"/>
        <v>110.96</v>
      </c>
      <c r="AD164">
        <f>ROUND((((ET164)-(EU164))+AE164),2)</f>
        <v>0</v>
      </c>
      <c r="AE164">
        <f t="shared" si="186"/>
        <v>0</v>
      </c>
      <c r="AF164">
        <f t="shared" si="186"/>
        <v>0</v>
      </c>
      <c r="AG164">
        <f t="shared" si="164"/>
        <v>0</v>
      </c>
      <c r="AH164">
        <f t="shared" si="187"/>
        <v>0</v>
      </c>
      <c r="AI164">
        <f t="shared" si="187"/>
        <v>0</v>
      </c>
      <c r="AJ164">
        <f t="shared" si="165"/>
        <v>0</v>
      </c>
      <c r="AK164">
        <v>110.96</v>
      </c>
      <c r="AL164">
        <v>110.96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1</v>
      </c>
      <c r="AW164">
        <v>1</v>
      </c>
      <c r="AZ164">
        <v>1</v>
      </c>
      <c r="BA164">
        <v>1</v>
      </c>
      <c r="BB164">
        <v>1</v>
      </c>
      <c r="BC164">
        <v>3.55</v>
      </c>
      <c r="BD164" t="s">
        <v>3</v>
      </c>
      <c r="BE164" t="s">
        <v>3</v>
      </c>
      <c r="BF164" t="s">
        <v>3</v>
      </c>
      <c r="BG164" t="s">
        <v>3</v>
      </c>
      <c r="BH164">
        <v>3</v>
      </c>
      <c r="BI164">
        <v>1</v>
      </c>
      <c r="BJ164" t="s">
        <v>194</v>
      </c>
      <c r="BM164">
        <v>500001</v>
      </c>
      <c r="BN164">
        <v>0</v>
      </c>
      <c r="BO164" t="s">
        <v>192</v>
      </c>
      <c r="BP164">
        <v>1</v>
      </c>
      <c r="BQ164">
        <v>8</v>
      </c>
      <c r="BR164">
        <v>0</v>
      </c>
      <c r="BS164">
        <v>1</v>
      </c>
      <c r="BT164">
        <v>1</v>
      </c>
      <c r="BU164">
        <v>1</v>
      </c>
      <c r="BV164">
        <v>1</v>
      </c>
      <c r="BW164">
        <v>1</v>
      </c>
      <c r="BX164">
        <v>1</v>
      </c>
      <c r="BY164" t="s">
        <v>3</v>
      </c>
      <c r="BZ164">
        <v>0</v>
      </c>
      <c r="CA164">
        <v>0</v>
      </c>
      <c r="CF164">
        <v>0</v>
      </c>
      <c r="CG164">
        <v>0</v>
      </c>
      <c r="CM164">
        <v>0</v>
      </c>
      <c r="CN164" t="s">
        <v>3</v>
      </c>
      <c r="CO164">
        <v>0</v>
      </c>
      <c r="CP164">
        <f t="shared" si="166"/>
        <v>788</v>
      </c>
      <c r="CQ164">
        <f t="shared" si="167"/>
        <v>393.90799999999996</v>
      </c>
      <c r="CR164">
        <f t="shared" si="168"/>
        <v>0</v>
      </c>
      <c r="CS164">
        <f t="shared" si="169"/>
        <v>0</v>
      </c>
      <c r="CT164">
        <f t="shared" si="170"/>
        <v>0</v>
      </c>
      <c r="CU164">
        <f t="shared" si="171"/>
        <v>0</v>
      </c>
      <c r="CV164">
        <f t="shared" si="172"/>
        <v>0</v>
      </c>
      <c r="CW164">
        <f t="shared" si="173"/>
        <v>0</v>
      </c>
      <c r="CX164">
        <f t="shared" si="174"/>
        <v>0</v>
      </c>
      <c r="CY164">
        <f t="shared" si="175"/>
        <v>0</v>
      </c>
      <c r="CZ164">
        <f t="shared" si="176"/>
        <v>0</v>
      </c>
      <c r="DC164" t="s">
        <v>3</v>
      </c>
      <c r="DD164" t="s">
        <v>3</v>
      </c>
      <c r="DE164" t="s">
        <v>3</v>
      </c>
      <c r="DF164" t="s">
        <v>3</v>
      </c>
      <c r="DG164" t="s">
        <v>3</v>
      </c>
      <c r="DH164" t="s">
        <v>3</v>
      </c>
      <c r="DI164" t="s">
        <v>3</v>
      </c>
      <c r="DJ164" t="s">
        <v>3</v>
      </c>
      <c r="DK164" t="s">
        <v>3</v>
      </c>
      <c r="DL164" t="s">
        <v>3</v>
      </c>
      <c r="DM164" t="s">
        <v>3</v>
      </c>
      <c r="DN164">
        <v>0</v>
      </c>
      <c r="DO164">
        <v>0</v>
      </c>
      <c r="DP164">
        <v>1</v>
      </c>
      <c r="DQ164">
        <v>1</v>
      </c>
      <c r="DU164">
        <v>1005</v>
      </c>
      <c r="DV164" t="s">
        <v>189</v>
      </c>
      <c r="DW164" t="s">
        <v>189</v>
      </c>
      <c r="DX164">
        <v>1</v>
      </c>
      <c r="EE164">
        <v>45269109</v>
      </c>
      <c r="EF164">
        <v>8</v>
      </c>
      <c r="EG164" t="s">
        <v>174</v>
      </c>
      <c r="EH164">
        <v>0</v>
      </c>
      <c r="EI164" t="s">
        <v>3</v>
      </c>
      <c r="EJ164">
        <v>1</v>
      </c>
      <c r="EK164">
        <v>500001</v>
      </c>
      <c r="EL164" t="s">
        <v>175</v>
      </c>
      <c r="EM164" t="s">
        <v>176</v>
      </c>
      <c r="EO164" t="s">
        <v>3</v>
      </c>
      <c r="EQ164">
        <v>0</v>
      </c>
      <c r="ER164">
        <v>110.96</v>
      </c>
      <c r="ES164">
        <v>110.96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FQ164">
        <v>0</v>
      </c>
      <c r="FR164">
        <f t="shared" si="177"/>
        <v>0</v>
      </c>
      <c r="FS164">
        <v>0</v>
      </c>
      <c r="FX164">
        <v>0</v>
      </c>
      <c r="FY164">
        <v>0</v>
      </c>
      <c r="GA164" t="s">
        <v>3</v>
      </c>
      <c r="GD164">
        <v>0</v>
      </c>
      <c r="GF164">
        <v>1498426133</v>
      </c>
      <c r="GG164">
        <v>2</v>
      </c>
      <c r="GH164">
        <v>1</v>
      </c>
      <c r="GI164">
        <v>2</v>
      </c>
      <c r="GJ164">
        <v>0</v>
      </c>
      <c r="GK164">
        <f>ROUND(R164*(R12)/100,0)</f>
        <v>0</v>
      </c>
      <c r="GL164">
        <f t="shared" si="178"/>
        <v>0</v>
      </c>
      <c r="GM164">
        <f t="shared" si="179"/>
        <v>788</v>
      </c>
      <c r="GN164">
        <f t="shared" si="180"/>
        <v>788</v>
      </c>
      <c r="GO164">
        <f t="shared" si="181"/>
        <v>0</v>
      </c>
      <c r="GP164">
        <f t="shared" si="182"/>
        <v>0</v>
      </c>
      <c r="GR164">
        <v>0</v>
      </c>
      <c r="GS164">
        <v>3</v>
      </c>
      <c r="GT164">
        <v>0</v>
      </c>
      <c r="GU164" t="s">
        <v>3</v>
      </c>
      <c r="GV164">
        <f t="shared" si="183"/>
        <v>0</v>
      </c>
      <c r="GW164">
        <v>1</v>
      </c>
      <c r="GX164">
        <f t="shared" si="184"/>
        <v>0</v>
      </c>
      <c r="HA164">
        <v>0</v>
      </c>
      <c r="HB164">
        <v>0</v>
      </c>
      <c r="IK164">
        <v>0</v>
      </c>
    </row>
    <row r="165" spans="1:245">
      <c r="A165">
        <v>17</v>
      </c>
      <c r="B165">
        <v>1</v>
      </c>
      <c r="C165">
        <f>ROW(SmtRes!A362)</f>
        <v>362</v>
      </c>
      <c r="D165">
        <f>ROW(EtalonRes!A363)</f>
        <v>363</v>
      </c>
      <c r="E165" t="s">
        <v>367</v>
      </c>
      <c r="F165" t="s">
        <v>368</v>
      </c>
      <c r="G165" t="s">
        <v>369</v>
      </c>
      <c r="H165" t="s">
        <v>370</v>
      </c>
      <c r="I165">
        <f>ROUND(1/100,9)</f>
        <v>0.01</v>
      </c>
      <c r="J165">
        <v>0</v>
      </c>
      <c r="O165">
        <f t="shared" si="152"/>
        <v>231</v>
      </c>
      <c r="P165">
        <f t="shared" si="153"/>
        <v>154</v>
      </c>
      <c r="Q165">
        <f t="shared" si="154"/>
        <v>0</v>
      </c>
      <c r="R165">
        <f t="shared" si="155"/>
        <v>0</v>
      </c>
      <c r="S165">
        <f t="shared" si="156"/>
        <v>77</v>
      </c>
      <c r="T165">
        <f t="shared" si="157"/>
        <v>0</v>
      </c>
      <c r="U165">
        <f t="shared" si="158"/>
        <v>0.46189999999999998</v>
      </c>
      <c r="V165">
        <f t="shared" si="159"/>
        <v>1E-4</v>
      </c>
      <c r="W165">
        <f t="shared" si="160"/>
        <v>0</v>
      </c>
      <c r="X165">
        <f t="shared" si="161"/>
        <v>55</v>
      </c>
      <c r="Y165">
        <f t="shared" si="162"/>
        <v>42</v>
      </c>
      <c r="AA165">
        <v>48370320</v>
      </c>
      <c r="AB165">
        <f t="shared" si="163"/>
        <v>3230</v>
      </c>
      <c r="AC165">
        <f t="shared" si="185"/>
        <v>2861.55</v>
      </c>
      <c r="AD165">
        <f>ROUND((((ET165)-(EU165))+AE165),2)</f>
        <v>0.32</v>
      </c>
      <c r="AE165">
        <f t="shared" si="186"/>
        <v>0.12</v>
      </c>
      <c r="AF165">
        <f t="shared" si="186"/>
        <v>368.13</v>
      </c>
      <c r="AG165">
        <f t="shared" si="164"/>
        <v>0</v>
      </c>
      <c r="AH165">
        <f t="shared" si="187"/>
        <v>46.19</v>
      </c>
      <c r="AI165">
        <f t="shared" si="187"/>
        <v>0.01</v>
      </c>
      <c r="AJ165">
        <f t="shared" si="165"/>
        <v>0</v>
      </c>
      <c r="AK165">
        <v>3230</v>
      </c>
      <c r="AL165">
        <v>2861.55</v>
      </c>
      <c r="AM165">
        <v>0.32</v>
      </c>
      <c r="AN165">
        <v>0.12</v>
      </c>
      <c r="AO165">
        <v>368.13</v>
      </c>
      <c r="AP165">
        <v>0</v>
      </c>
      <c r="AQ165">
        <v>46.19</v>
      </c>
      <c r="AR165">
        <v>0.01</v>
      </c>
      <c r="AS165">
        <v>0</v>
      </c>
      <c r="AT165">
        <v>72</v>
      </c>
      <c r="AU165">
        <v>54</v>
      </c>
      <c r="AV165">
        <v>1</v>
      </c>
      <c r="AW165">
        <v>1</v>
      </c>
      <c r="AZ165">
        <v>1</v>
      </c>
      <c r="BA165">
        <v>20.88</v>
      </c>
      <c r="BB165">
        <v>10.25</v>
      </c>
      <c r="BC165">
        <v>5.38</v>
      </c>
      <c r="BD165" t="s">
        <v>3</v>
      </c>
      <c r="BE165" t="s">
        <v>3</v>
      </c>
      <c r="BF165" t="s">
        <v>3</v>
      </c>
      <c r="BG165" t="s">
        <v>3</v>
      </c>
      <c r="BH165">
        <v>0</v>
      </c>
      <c r="BI165">
        <v>1</v>
      </c>
      <c r="BJ165" t="s">
        <v>371</v>
      </c>
      <c r="BM165">
        <v>65010</v>
      </c>
      <c r="BN165">
        <v>0</v>
      </c>
      <c r="BO165" t="s">
        <v>368</v>
      </c>
      <c r="BP165">
        <v>1</v>
      </c>
      <c r="BQ165">
        <v>6</v>
      </c>
      <c r="BR165">
        <v>0</v>
      </c>
      <c r="BS165">
        <v>20.88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3</v>
      </c>
      <c r="BZ165">
        <v>103</v>
      </c>
      <c r="CA165">
        <v>60</v>
      </c>
      <c r="CF165">
        <v>0</v>
      </c>
      <c r="CG165">
        <v>0</v>
      </c>
      <c r="CM165">
        <v>0</v>
      </c>
      <c r="CN165" t="s">
        <v>3</v>
      </c>
      <c r="CO165">
        <v>0</v>
      </c>
      <c r="CP165">
        <f t="shared" si="166"/>
        <v>231</v>
      </c>
      <c r="CQ165">
        <f t="shared" si="167"/>
        <v>15395.139000000001</v>
      </c>
      <c r="CR165">
        <f t="shared" si="168"/>
        <v>3.2800000000000002</v>
      </c>
      <c r="CS165">
        <f t="shared" si="169"/>
        <v>2.5055999999999998</v>
      </c>
      <c r="CT165">
        <f t="shared" si="170"/>
        <v>7686.5544</v>
      </c>
      <c r="CU165">
        <f t="shared" si="171"/>
        <v>0</v>
      </c>
      <c r="CV165">
        <f t="shared" si="172"/>
        <v>46.19</v>
      </c>
      <c r="CW165">
        <f t="shared" si="173"/>
        <v>0.01</v>
      </c>
      <c r="CX165">
        <f t="shared" si="174"/>
        <v>0</v>
      </c>
      <c r="CY165">
        <f t="shared" si="175"/>
        <v>55.44</v>
      </c>
      <c r="CZ165">
        <f t="shared" si="176"/>
        <v>41.58</v>
      </c>
      <c r="DC165" t="s">
        <v>3</v>
      </c>
      <c r="DD165" t="s">
        <v>3</v>
      </c>
      <c r="DE165" t="s">
        <v>3</v>
      </c>
      <c r="DF165" t="s">
        <v>3</v>
      </c>
      <c r="DG165" t="s">
        <v>3</v>
      </c>
      <c r="DH165" t="s">
        <v>3</v>
      </c>
      <c r="DI165" t="s">
        <v>3</v>
      </c>
      <c r="DJ165" t="s">
        <v>3</v>
      </c>
      <c r="DK165" t="s">
        <v>3</v>
      </c>
      <c r="DL165" t="s">
        <v>3</v>
      </c>
      <c r="DM165" t="s">
        <v>3</v>
      </c>
      <c r="DN165">
        <v>0</v>
      </c>
      <c r="DO165">
        <v>0</v>
      </c>
      <c r="DP165">
        <v>1</v>
      </c>
      <c r="DQ165">
        <v>1</v>
      </c>
      <c r="DU165">
        <v>1013</v>
      </c>
      <c r="DV165" t="s">
        <v>370</v>
      </c>
      <c r="DW165" t="s">
        <v>370</v>
      </c>
      <c r="DX165">
        <v>1</v>
      </c>
      <c r="EE165">
        <v>45269278</v>
      </c>
      <c r="EF165">
        <v>6</v>
      </c>
      <c r="EG165" t="s">
        <v>33</v>
      </c>
      <c r="EH165">
        <v>0</v>
      </c>
      <c r="EI165" t="s">
        <v>3</v>
      </c>
      <c r="EJ165">
        <v>1</v>
      </c>
      <c r="EK165">
        <v>65010</v>
      </c>
      <c r="EL165" t="s">
        <v>92</v>
      </c>
      <c r="EM165" t="s">
        <v>74</v>
      </c>
      <c r="EO165" t="s">
        <v>3</v>
      </c>
      <c r="EQ165">
        <v>0</v>
      </c>
      <c r="ER165">
        <v>3230</v>
      </c>
      <c r="ES165">
        <v>2861.55</v>
      </c>
      <c r="ET165">
        <v>0.32</v>
      </c>
      <c r="EU165">
        <v>0.12</v>
      </c>
      <c r="EV165">
        <v>368.13</v>
      </c>
      <c r="EW165">
        <v>46.19</v>
      </c>
      <c r="EX165">
        <v>0.01</v>
      </c>
      <c r="EY165">
        <v>0</v>
      </c>
      <c r="FQ165">
        <v>0</v>
      </c>
      <c r="FR165">
        <f t="shared" si="177"/>
        <v>0</v>
      </c>
      <c r="FS165">
        <v>0</v>
      </c>
      <c r="FT165" t="s">
        <v>36</v>
      </c>
      <c r="FU165" t="s">
        <v>37</v>
      </c>
      <c r="FX165">
        <v>72.099999999999994</v>
      </c>
      <c r="FY165">
        <v>54</v>
      </c>
      <c r="GA165" t="s">
        <v>3</v>
      </c>
      <c r="GD165">
        <v>0</v>
      </c>
      <c r="GF165">
        <v>-661678476</v>
      </c>
      <c r="GG165">
        <v>2</v>
      </c>
      <c r="GH165">
        <v>1</v>
      </c>
      <c r="GI165">
        <v>2</v>
      </c>
      <c r="GJ165">
        <v>0</v>
      </c>
      <c r="GK165">
        <f>ROUND(R165*(R12)/100,0)</f>
        <v>0</v>
      </c>
      <c r="GL165">
        <f t="shared" si="178"/>
        <v>0</v>
      </c>
      <c r="GM165">
        <f t="shared" si="179"/>
        <v>328</v>
      </c>
      <c r="GN165">
        <f t="shared" si="180"/>
        <v>328</v>
      </c>
      <c r="GO165">
        <f t="shared" si="181"/>
        <v>0</v>
      </c>
      <c r="GP165">
        <f t="shared" si="182"/>
        <v>0</v>
      </c>
      <c r="GR165">
        <v>0</v>
      </c>
      <c r="GS165">
        <v>3</v>
      </c>
      <c r="GT165">
        <v>0</v>
      </c>
      <c r="GU165" t="s">
        <v>3</v>
      </c>
      <c r="GV165">
        <f t="shared" si="183"/>
        <v>0</v>
      </c>
      <c r="GW165">
        <v>1</v>
      </c>
      <c r="GX165">
        <f t="shared" si="184"/>
        <v>0</v>
      </c>
      <c r="HA165">
        <v>0</v>
      </c>
      <c r="HB165">
        <v>0</v>
      </c>
      <c r="IK165">
        <v>0</v>
      </c>
    </row>
    <row r="166" spans="1:245">
      <c r="A166">
        <v>17</v>
      </c>
      <c r="B166">
        <v>1</v>
      </c>
      <c r="C166">
        <f>ROW(SmtRes!A372)</f>
        <v>372</v>
      </c>
      <c r="D166">
        <f>ROW(EtalonRes!A373)</f>
        <v>373</v>
      </c>
      <c r="E166" t="s">
        <v>372</v>
      </c>
      <c r="F166" t="s">
        <v>373</v>
      </c>
      <c r="G166" t="s">
        <v>374</v>
      </c>
      <c r="H166" t="s">
        <v>332</v>
      </c>
      <c r="I166">
        <f>ROUND(4/100,9)</f>
        <v>0.04</v>
      </c>
      <c r="J166">
        <v>0</v>
      </c>
      <c r="O166">
        <f t="shared" si="152"/>
        <v>859</v>
      </c>
      <c r="P166">
        <f t="shared" si="153"/>
        <v>100</v>
      </c>
      <c r="Q166">
        <f t="shared" si="154"/>
        <v>4</v>
      </c>
      <c r="R166">
        <f t="shared" si="155"/>
        <v>0</v>
      </c>
      <c r="S166">
        <f t="shared" si="156"/>
        <v>755</v>
      </c>
      <c r="T166">
        <f t="shared" si="157"/>
        <v>0</v>
      </c>
      <c r="U166">
        <f t="shared" si="158"/>
        <v>4.2655799999999999</v>
      </c>
      <c r="V166">
        <f t="shared" si="159"/>
        <v>5.0000000000000001E-4</v>
      </c>
      <c r="W166">
        <f t="shared" si="160"/>
        <v>0</v>
      </c>
      <c r="X166">
        <f t="shared" si="161"/>
        <v>498</v>
      </c>
      <c r="Y166">
        <f t="shared" si="162"/>
        <v>317</v>
      </c>
      <c r="AA166">
        <v>48370320</v>
      </c>
      <c r="AB166">
        <f t="shared" si="163"/>
        <v>1591.51</v>
      </c>
      <c r="AC166">
        <f t="shared" si="185"/>
        <v>676.48</v>
      </c>
      <c r="AD166">
        <f>ROUND(((((ET166*1.25))-((EU166*1.25)))+AE166),2)</f>
        <v>10.73</v>
      </c>
      <c r="AE166">
        <f>ROUND(((EU166*1.25)),2)</f>
        <v>0.15</v>
      </c>
      <c r="AF166">
        <f>ROUND(((EV166*1.15)),2)</f>
        <v>904.3</v>
      </c>
      <c r="AG166">
        <f t="shared" si="164"/>
        <v>0</v>
      </c>
      <c r="AH166">
        <f>((EW166*1.15))</f>
        <v>106.6395</v>
      </c>
      <c r="AI166">
        <f>((EX166*1.25))</f>
        <v>1.2500000000000001E-2</v>
      </c>
      <c r="AJ166">
        <f t="shared" si="165"/>
        <v>0</v>
      </c>
      <c r="AK166">
        <v>1471.41</v>
      </c>
      <c r="AL166">
        <v>676.48</v>
      </c>
      <c r="AM166">
        <v>8.58</v>
      </c>
      <c r="AN166">
        <v>0.12</v>
      </c>
      <c r="AO166">
        <v>786.35</v>
      </c>
      <c r="AP166">
        <v>0</v>
      </c>
      <c r="AQ166">
        <v>92.73</v>
      </c>
      <c r="AR166">
        <v>0.01</v>
      </c>
      <c r="AS166">
        <v>0</v>
      </c>
      <c r="AT166">
        <v>66</v>
      </c>
      <c r="AU166">
        <v>42</v>
      </c>
      <c r="AV166">
        <v>1</v>
      </c>
      <c r="AW166">
        <v>1</v>
      </c>
      <c r="AZ166">
        <v>1</v>
      </c>
      <c r="BA166">
        <v>20.88</v>
      </c>
      <c r="BB166">
        <v>9.23</v>
      </c>
      <c r="BC166">
        <v>3.69</v>
      </c>
      <c r="BD166" t="s">
        <v>3</v>
      </c>
      <c r="BE166" t="s">
        <v>3</v>
      </c>
      <c r="BF166" t="s">
        <v>3</v>
      </c>
      <c r="BG166" t="s">
        <v>3</v>
      </c>
      <c r="BH166">
        <v>0</v>
      </c>
      <c r="BI166">
        <v>1</v>
      </c>
      <c r="BJ166" t="s">
        <v>375</v>
      </c>
      <c r="BM166">
        <v>15001</v>
      </c>
      <c r="BN166">
        <v>0</v>
      </c>
      <c r="BO166" t="s">
        <v>373</v>
      </c>
      <c r="BP166">
        <v>1</v>
      </c>
      <c r="BQ166">
        <v>2</v>
      </c>
      <c r="BR166">
        <v>0</v>
      </c>
      <c r="BS166">
        <v>20.88</v>
      </c>
      <c r="BT166">
        <v>1</v>
      </c>
      <c r="BU166">
        <v>1</v>
      </c>
      <c r="BV166">
        <v>1</v>
      </c>
      <c r="BW166">
        <v>1</v>
      </c>
      <c r="BX166">
        <v>1</v>
      </c>
      <c r="BY166" t="s">
        <v>3</v>
      </c>
      <c r="BZ166">
        <v>105</v>
      </c>
      <c r="CA166">
        <v>55</v>
      </c>
      <c r="CF166">
        <v>0</v>
      </c>
      <c r="CG166">
        <v>0</v>
      </c>
      <c r="CM166">
        <v>0</v>
      </c>
      <c r="CN166" t="s">
        <v>937</v>
      </c>
      <c r="CO166">
        <v>0</v>
      </c>
      <c r="CP166">
        <f t="shared" si="166"/>
        <v>859</v>
      </c>
      <c r="CQ166">
        <f t="shared" si="167"/>
        <v>2496.2112000000002</v>
      </c>
      <c r="CR166">
        <f t="shared" si="168"/>
        <v>99.037900000000008</v>
      </c>
      <c r="CS166">
        <f t="shared" si="169"/>
        <v>3.1319999999999997</v>
      </c>
      <c r="CT166">
        <f t="shared" si="170"/>
        <v>18881.784</v>
      </c>
      <c r="CU166">
        <f t="shared" si="171"/>
        <v>0</v>
      </c>
      <c r="CV166">
        <f t="shared" si="172"/>
        <v>106.6395</v>
      </c>
      <c r="CW166">
        <f t="shared" si="173"/>
        <v>1.2500000000000001E-2</v>
      </c>
      <c r="CX166">
        <f t="shared" si="174"/>
        <v>0</v>
      </c>
      <c r="CY166">
        <f t="shared" si="175"/>
        <v>498.3</v>
      </c>
      <c r="CZ166">
        <f t="shared" si="176"/>
        <v>317.10000000000002</v>
      </c>
      <c r="DC166" t="s">
        <v>3</v>
      </c>
      <c r="DD166" t="s">
        <v>3</v>
      </c>
      <c r="DE166" t="s">
        <v>160</v>
      </c>
      <c r="DF166" t="s">
        <v>160</v>
      </c>
      <c r="DG166" t="s">
        <v>161</v>
      </c>
      <c r="DH166" t="s">
        <v>3</v>
      </c>
      <c r="DI166" t="s">
        <v>161</v>
      </c>
      <c r="DJ166" t="s">
        <v>160</v>
      </c>
      <c r="DK166" t="s">
        <v>3</v>
      </c>
      <c r="DL166" t="s">
        <v>3</v>
      </c>
      <c r="DM166" t="s">
        <v>3</v>
      </c>
      <c r="DN166">
        <v>0</v>
      </c>
      <c r="DO166">
        <v>0</v>
      </c>
      <c r="DP166">
        <v>1</v>
      </c>
      <c r="DQ166">
        <v>1</v>
      </c>
      <c r="DU166">
        <v>1005</v>
      </c>
      <c r="DV166" t="s">
        <v>332</v>
      </c>
      <c r="DW166" t="s">
        <v>332</v>
      </c>
      <c r="DX166">
        <v>100</v>
      </c>
      <c r="EE166">
        <v>45269202</v>
      </c>
      <c r="EF166">
        <v>2</v>
      </c>
      <c r="EG166" t="s">
        <v>19</v>
      </c>
      <c r="EH166">
        <v>0</v>
      </c>
      <c r="EI166" t="s">
        <v>3</v>
      </c>
      <c r="EJ166">
        <v>1</v>
      </c>
      <c r="EK166">
        <v>15001</v>
      </c>
      <c r="EL166" t="s">
        <v>157</v>
      </c>
      <c r="EM166" t="s">
        <v>168</v>
      </c>
      <c r="EO166" t="s">
        <v>162</v>
      </c>
      <c r="EQ166">
        <v>0</v>
      </c>
      <c r="ER166">
        <v>1471.41</v>
      </c>
      <c r="ES166">
        <v>676.48</v>
      </c>
      <c r="ET166">
        <v>8.58</v>
      </c>
      <c r="EU166">
        <v>0.12</v>
      </c>
      <c r="EV166">
        <v>786.35</v>
      </c>
      <c r="EW166">
        <v>92.73</v>
      </c>
      <c r="EX166">
        <v>0.01</v>
      </c>
      <c r="EY166">
        <v>0</v>
      </c>
      <c r="FQ166">
        <v>0</v>
      </c>
      <c r="FR166">
        <f t="shared" si="177"/>
        <v>0</v>
      </c>
      <c r="FS166">
        <v>0</v>
      </c>
      <c r="FT166" t="s">
        <v>22</v>
      </c>
      <c r="FU166" t="s">
        <v>23</v>
      </c>
      <c r="FX166">
        <v>66.150000000000006</v>
      </c>
      <c r="FY166">
        <v>42.075000000000003</v>
      </c>
      <c r="GA166" t="s">
        <v>3</v>
      </c>
      <c r="GD166">
        <v>0</v>
      </c>
      <c r="GF166">
        <v>297451364</v>
      </c>
      <c r="GG166">
        <v>2</v>
      </c>
      <c r="GH166">
        <v>1</v>
      </c>
      <c r="GI166">
        <v>2</v>
      </c>
      <c r="GJ166">
        <v>0</v>
      </c>
      <c r="GK166">
        <f>ROUND(R166*(R12)/100,0)</f>
        <v>0</v>
      </c>
      <c r="GL166">
        <f t="shared" si="178"/>
        <v>0</v>
      </c>
      <c r="GM166">
        <f t="shared" si="179"/>
        <v>1674</v>
      </c>
      <c r="GN166">
        <f t="shared" si="180"/>
        <v>1674</v>
      </c>
      <c r="GO166">
        <f t="shared" si="181"/>
        <v>0</v>
      </c>
      <c r="GP166">
        <f t="shared" si="182"/>
        <v>0</v>
      </c>
      <c r="GR166">
        <v>0</v>
      </c>
      <c r="GS166">
        <v>3</v>
      </c>
      <c r="GT166">
        <v>0</v>
      </c>
      <c r="GU166" t="s">
        <v>3</v>
      </c>
      <c r="GV166">
        <f t="shared" si="183"/>
        <v>0</v>
      </c>
      <c r="GW166">
        <v>1</v>
      </c>
      <c r="GX166">
        <f t="shared" si="184"/>
        <v>0</v>
      </c>
      <c r="HA166">
        <v>0</v>
      </c>
      <c r="HB166">
        <v>0</v>
      </c>
      <c r="IK166">
        <v>0</v>
      </c>
    </row>
    <row r="167" spans="1:245">
      <c r="A167">
        <v>17</v>
      </c>
      <c r="B167">
        <v>1</v>
      </c>
      <c r="C167">
        <f>ROW(SmtRes!A376)</f>
        <v>376</v>
      </c>
      <c r="D167">
        <f>ROW(EtalonRes!A377)</f>
        <v>377</v>
      </c>
      <c r="E167" t="s">
        <v>376</v>
      </c>
      <c r="F167" t="s">
        <v>76</v>
      </c>
      <c r="G167" t="s">
        <v>77</v>
      </c>
      <c r="H167" t="s">
        <v>71</v>
      </c>
      <c r="I167">
        <f>ROUND(1/100,9)</f>
        <v>0.01</v>
      </c>
      <c r="J167">
        <v>0</v>
      </c>
      <c r="O167">
        <f t="shared" si="152"/>
        <v>86</v>
      </c>
      <c r="P167">
        <f t="shared" si="153"/>
        <v>0</v>
      </c>
      <c r="Q167">
        <f t="shared" si="154"/>
        <v>1</v>
      </c>
      <c r="R167">
        <f t="shared" si="155"/>
        <v>1</v>
      </c>
      <c r="S167">
        <f t="shared" si="156"/>
        <v>85</v>
      </c>
      <c r="T167">
        <f t="shared" si="157"/>
        <v>0</v>
      </c>
      <c r="U167">
        <f t="shared" si="158"/>
        <v>0.51300000000000001</v>
      </c>
      <c r="V167">
        <f t="shared" si="159"/>
        <v>2.6000000000000003E-3</v>
      </c>
      <c r="W167">
        <f t="shared" si="160"/>
        <v>0</v>
      </c>
      <c r="X167">
        <f t="shared" si="161"/>
        <v>45</v>
      </c>
      <c r="Y167">
        <f t="shared" si="162"/>
        <v>39</v>
      </c>
      <c r="AA167">
        <v>48370320</v>
      </c>
      <c r="AB167">
        <f t="shared" si="163"/>
        <v>417.2</v>
      </c>
      <c r="AC167">
        <f t="shared" si="185"/>
        <v>0</v>
      </c>
      <c r="AD167">
        <f>ROUND((((ET167)-(EU167))+AE167),2)</f>
        <v>8.34</v>
      </c>
      <c r="AE167">
        <f>ROUND((EU167),2)</f>
        <v>3.15</v>
      </c>
      <c r="AF167">
        <f>ROUND((EV167),2)</f>
        <v>408.86</v>
      </c>
      <c r="AG167">
        <f t="shared" si="164"/>
        <v>0</v>
      </c>
      <c r="AH167">
        <f>(EW167)</f>
        <v>51.3</v>
      </c>
      <c r="AI167">
        <f>(EX167)</f>
        <v>0.26</v>
      </c>
      <c r="AJ167">
        <f t="shared" si="165"/>
        <v>0</v>
      </c>
      <c r="AK167">
        <v>417.2</v>
      </c>
      <c r="AL167">
        <v>0</v>
      </c>
      <c r="AM167">
        <v>8.34</v>
      </c>
      <c r="AN167">
        <v>3.15</v>
      </c>
      <c r="AO167">
        <v>408.86</v>
      </c>
      <c r="AP167">
        <v>0</v>
      </c>
      <c r="AQ167">
        <v>51.3</v>
      </c>
      <c r="AR167">
        <v>0.26</v>
      </c>
      <c r="AS167">
        <v>0</v>
      </c>
      <c r="AT167">
        <v>52</v>
      </c>
      <c r="AU167">
        <v>45</v>
      </c>
      <c r="AV167">
        <v>1</v>
      </c>
      <c r="AW167">
        <v>1</v>
      </c>
      <c r="AZ167">
        <v>1</v>
      </c>
      <c r="BA167">
        <v>20.88</v>
      </c>
      <c r="BB167">
        <v>10.220000000000001</v>
      </c>
      <c r="BC167">
        <v>1</v>
      </c>
      <c r="BD167" t="s">
        <v>3</v>
      </c>
      <c r="BE167" t="s">
        <v>3</v>
      </c>
      <c r="BF167" t="s">
        <v>3</v>
      </c>
      <c r="BG167" t="s">
        <v>3</v>
      </c>
      <c r="BH167">
        <v>0</v>
      </c>
      <c r="BI167">
        <v>1</v>
      </c>
      <c r="BJ167" t="s">
        <v>78</v>
      </c>
      <c r="BM167">
        <v>65001</v>
      </c>
      <c r="BN167">
        <v>0</v>
      </c>
      <c r="BO167" t="s">
        <v>76</v>
      </c>
      <c r="BP167">
        <v>1</v>
      </c>
      <c r="BQ167">
        <v>6</v>
      </c>
      <c r="BR167">
        <v>0</v>
      </c>
      <c r="BS167">
        <v>20.88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3</v>
      </c>
      <c r="BZ167">
        <v>74</v>
      </c>
      <c r="CA167">
        <v>50</v>
      </c>
      <c r="CF167">
        <v>0</v>
      </c>
      <c r="CG167">
        <v>0</v>
      </c>
      <c r="CM167">
        <v>0</v>
      </c>
      <c r="CN167" t="s">
        <v>3</v>
      </c>
      <c r="CO167">
        <v>0</v>
      </c>
      <c r="CP167">
        <f t="shared" si="166"/>
        <v>86</v>
      </c>
      <c r="CQ167">
        <f t="shared" si="167"/>
        <v>0</v>
      </c>
      <c r="CR167">
        <f t="shared" si="168"/>
        <v>85.234800000000007</v>
      </c>
      <c r="CS167">
        <f t="shared" si="169"/>
        <v>65.771999999999991</v>
      </c>
      <c r="CT167">
        <f t="shared" si="170"/>
        <v>8536.996799999999</v>
      </c>
      <c r="CU167">
        <f t="shared" si="171"/>
        <v>0</v>
      </c>
      <c r="CV167">
        <f t="shared" si="172"/>
        <v>51.3</v>
      </c>
      <c r="CW167">
        <f t="shared" si="173"/>
        <v>0.26</v>
      </c>
      <c r="CX167">
        <f t="shared" si="174"/>
        <v>0</v>
      </c>
      <c r="CY167">
        <f t="shared" si="175"/>
        <v>44.72</v>
      </c>
      <c r="CZ167">
        <f t="shared" si="176"/>
        <v>38.700000000000003</v>
      </c>
      <c r="DC167" t="s">
        <v>3</v>
      </c>
      <c r="DD167" t="s">
        <v>3</v>
      </c>
      <c r="DE167" t="s">
        <v>3</v>
      </c>
      <c r="DF167" t="s">
        <v>3</v>
      </c>
      <c r="DG167" t="s">
        <v>3</v>
      </c>
      <c r="DH167" t="s">
        <v>3</v>
      </c>
      <c r="DI167" t="s">
        <v>3</v>
      </c>
      <c r="DJ167" t="s">
        <v>3</v>
      </c>
      <c r="DK167" t="s">
        <v>3</v>
      </c>
      <c r="DL167" t="s">
        <v>3</v>
      </c>
      <c r="DM167" t="s">
        <v>3</v>
      </c>
      <c r="DN167">
        <v>0</v>
      </c>
      <c r="DO167">
        <v>0</v>
      </c>
      <c r="DP167">
        <v>1</v>
      </c>
      <c r="DQ167">
        <v>1</v>
      </c>
      <c r="DU167">
        <v>1013</v>
      </c>
      <c r="DV167" t="s">
        <v>71</v>
      </c>
      <c r="DW167" t="s">
        <v>71</v>
      </c>
      <c r="DX167">
        <v>1</v>
      </c>
      <c r="EE167">
        <v>45269263</v>
      </c>
      <c r="EF167">
        <v>6</v>
      </c>
      <c r="EG167" t="s">
        <v>33</v>
      </c>
      <c r="EH167">
        <v>0</v>
      </c>
      <c r="EI167" t="s">
        <v>3</v>
      </c>
      <c r="EJ167">
        <v>1</v>
      </c>
      <c r="EK167">
        <v>65001</v>
      </c>
      <c r="EL167" t="s">
        <v>73</v>
      </c>
      <c r="EM167" t="s">
        <v>74</v>
      </c>
      <c r="EO167" t="s">
        <v>3</v>
      </c>
      <c r="EQ167">
        <v>0</v>
      </c>
      <c r="ER167">
        <v>417.2</v>
      </c>
      <c r="ES167">
        <v>0</v>
      </c>
      <c r="ET167">
        <v>8.34</v>
      </c>
      <c r="EU167">
        <v>3.15</v>
      </c>
      <c r="EV167">
        <v>408.86</v>
      </c>
      <c r="EW167">
        <v>51.3</v>
      </c>
      <c r="EX167">
        <v>0.26</v>
      </c>
      <c r="EY167">
        <v>0</v>
      </c>
      <c r="FQ167">
        <v>0</v>
      </c>
      <c r="FR167">
        <f t="shared" si="177"/>
        <v>0</v>
      </c>
      <c r="FS167">
        <v>0</v>
      </c>
      <c r="FT167" t="s">
        <v>36</v>
      </c>
      <c r="FU167" t="s">
        <v>37</v>
      </c>
      <c r="FX167">
        <v>51.8</v>
      </c>
      <c r="FY167">
        <v>45</v>
      </c>
      <c r="GA167" t="s">
        <v>3</v>
      </c>
      <c r="GD167">
        <v>0</v>
      </c>
      <c r="GF167">
        <v>-1832059915</v>
      </c>
      <c r="GG167">
        <v>2</v>
      </c>
      <c r="GH167">
        <v>1</v>
      </c>
      <c r="GI167">
        <v>2</v>
      </c>
      <c r="GJ167">
        <v>0</v>
      </c>
      <c r="GK167">
        <f>ROUND(R167*(R12)/100,0)</f>
        <v>0</v>
      </c>
      <c r="GL167">
        <f t="shared" si="178"/>
        <v>0</v>
      </c>
      <c r="GM167">
        <f t="shared" si="179"/>
        <v>170</v>
      </c>
      <c r="GN167">
        <f t="shared" si="180"/>
        <v>170</v>
      </c>
      <c r="GO167">
        <f t="shared" si="181"/>
        <v>0</v>
      </c>
      <c r="GP167">
        <f t="shared" si="182"/>
        <v>0</v>
      </c>
      <c r="GR167">
        <v>0</v>
      </c>
      <c r="GS167">
        <v>3</v>
      </c>
      <c r="GT167">
        <v>0</v>
      </c>
      <c r="GU167" t="s">
        <v>3</v>
      </c>
      <c r="GV167">
        <f t="shared" si="183"/>
        <v>0</v>
      </c>
      <c r="GW167">
        <v>1</v>
      </c>
      <c r="GX167">
        <f t="shared" si="184"/>
        <v>0</v>
      </c>
      <c r="HA167">
        <v>0</v>
      </c>
      <c r="HB167">
        <v>0</v>
      </c>
      <c r="IK167">
        <v>0</v>
      </c>
    </row>
    <row r="168" spans="1:245">
      <c r="A168">
        <v>17</v>
      </c>
      <c r="B168">
        <v>1</v>
      </c>
      <c r="C168">
        <f>ROW(SmtRes!A389)</f>
        <v>389</v>
      </c>
      <c r="D168">
        <f>ROW(EtalonRes!A390)</f>
        <v>390</v>
      </c>
      <c r="E168" t="s">
        <v>377</v>
      </c>
      <c r="F168" t="s">
        <v>226</v>
      </c>
      <c r="G168" t="s">
        <v>227</v>
      </c>
      <c r="H168" t="s">
        <v>228</v>
      </c>
      <c r="I168">
        <f>ROUND(1/10,9)</f>
        <v>0.1</v>
      </c>
      <c r="J168">
        <v>0</v>
      </c>
      <c r="O168">
        <f t="shared" si="152"/>
        <v>496</v>
      </c>
      <c r="P168">
        <f t="shared" si="153"/>
        <v>0</v>
      </c>
      <c r="Q168">
        <f t="shared" si="154"/>
        <v>29</v>
      </c>
      <c r="R168">
        <f t="shared" si="155"/>
        <v>4</v>
      </c>
      <c r="S168">
        <f t="shared" si="156"/>
        <v>467</v>
      </c>
      <c r="T168">
        <f t="shared" si="157"/>
        <v>0</v>
      </c>
      <c r="U168">
        <f t="shared" si="158"/>
        <v>2.4897499999999999</v>
      </c>
      <c r="V168">
        <f t="shared" si="159"/>
        <v>1.6250000000000001E-2</v>
      </c>
      <c r="W168">
        <f t="shared" si="160"/>
        <v>0</v>
      </c>
      <c r="X168">
        <f t="shared" si="161"/>
        <v>382</v>
      </c>
      <c r="Y168">
        <f t="shared" si="162"/>
        <v>297</v>
      </c>
      <c r="AA168">
        <v>48370320</v>
      </c>
      <c r="AB168">
        <f t="shared" si="163"/>
        <v>254.81</v>
      </c>
      <c r="AC168">
        <f>ROUND(((ES168*0)),2)</f>
        <v>0</v>
      </c>
      <c r="AD168">
        <f>ROUND(((((ET168*1.25))-((EU168*1.25)))+AE168),2)</f>
        <v>30.99</v>
      </c>
      <c r="AE168">
        <f>ROUND(((EU168*1.25)),2)</f>
        <v>1.96</v>
      </c>
      <c r="AF168">
        <f>ROUND(((EV168*1.15)),2)</f>
        <v>223.82</v>
      </c>
      <c r="AG168">
        <f t="shared" si="164"/>
        <v>0</v>
      </c>
      <c r="AH168">
        <f>((EW168*1.15))</f>
        <v>24.897499999999997</v>
      </c>
      <c r="AI168">
        <f>((EX168*1.25))</f>
        <v>0.16250000000000001</v>
      </c>
      <c r="AJ168">
        <f t="shared" si="165"/>
        <v>0</v>
      </c>
      <c r="AK168">
        <v>2676.2</v>
      </c>
      <c r="AL168">
        <v>2456.7800000000002</v>
      </c>
      <c r="AM168">
        <v>24.79</v>
      </c>
      <c r="AN168">
        <v>1.57</v>
      </c>
      <c r="AO168">
        <v>194.63</v>
      </c>
      <c r="AP168">
        <v>0</v>
      </c>
      <c r="AQ168">
        <v>21.65</v>
      </c>
      <c r="AR168">
        <v>0.13</v>
      </c>
      <c r="AS168">
        <v>0</v>
      </c>
      <c r="AT168">
        <v>81</v>
      </c>
      <c r="AU168">
        <v>63</v>
      </c>
      <c r="AV168">
        <v>1</v>
      </c>
      <c r="AW168">
        <v>1</v>
      </c>
      <c r="AZ168">
        <v>1</v>
      </c>
      <c r="BA168">
        <v>20.88</v>
      </c>
      <c r="BB168">
        <v>9.2899999999999991</v>
      </c>
      <c r="BC168">
        <v>5.25</v>
      </c>
      <c r="BD168" t="s">
        <v>3</v>
      </c>
      <c r="BE168" t="s">
        <v>3</v>
      </c>
      <c r="BF168" t="s">
        <v>3</v>
      </c>
      <c r="BG168" t="s">
        <v>3</v>
      </c>
      <c r="BH168">
        <v>0</v>
      </c>
      <c r="BI168">
        <v>1</v>
      </c>
      <c r="BJ168" t="s">
        <v>229</v>
      </c>
      <c r="BM168">
        <v>17001</v>
      </c>
      <c r="BN168">
        <v>0</v>
      </c>
      <c r="BO168" t="s">
        <v>226</v>
      </c>
      <c r="BP168">
        <v>1</v>
      </c>
      <c r="BQ168">
        <v>2</v>
      </c>
      <c r="BR168">
        <v>0</v>
      </c>
      <c r="BS168">
        <v>20.88</v>
      </c>
      <c r="BT168">
        <v>1</v>
      </c>
      <c r="BU168">
        <v>1</v>
      </c>
      <c r="BV168">
        <v>1</v>
      </c>
      <c r="BW168">
        <v>1</v>
      </c>
      <c r="BX168">
        <v>1</v>
      </c>
      <c r="BY168" t="s">
        <v>3</v>
      </c>
      <c r="BZ168">
        <v>128</v>
      </c>
      <c r="CA168">
        <v>83</v>
      </c>
      <c r="CF168">
        <v>0</v>
      </c>
      <c r="CG168">
        <v>0</v>
      </c>
      <c r="CM168">
        <v>0</v>
      </c>
      <c r="CN168" t="s">
        <v>937</v>
      </c>
      <c r="CO168">
        <v>0</v>
      </c>
      <c r="CP168">
        <f t="shared" si="166"/>
        <v>496</v>
      </c>
      <c r="CQ168">
        <f t="shared" si="167"/>
        <v>0</v>
      </c>
      <c r="CR168">
        <f t="shared" si="168"/>
        <v>287.89709999999997</v>
      </c>
      <c r="CS168">
        <f t="shared" si="169"/>
        <v>40.924799999999998</v>
      </c>
      <c r="CT168">
        <f t="shared" si="170"/>
        <v>4673.3615999999993</v>
      </c>
      <c r="CU168">
        <f t="shared" si="171"/>
        <v>0</v>
      </c>
      <c r="CV168">
        <f t="shared" si="172"/>
        <v>24.897499999999997</v>
      </c>
      <c r="CW168">
        <f t="shared" si="173"/>
        <v>0.16250000000000001</v>
      </c>
      <c r="CX168">
        <f t="shared" si="174"/>
        <v>0</v>
      </c>
      <c r="CY168">
        <f t="shared" si="175"/>
        <v>381.51</v>
      </c>
      <c r="CZ168">
        <f t="shared" si="176"/>
        <v>296.73</v>
      </c>
      <c r="DC168" t="s">
        <v>3</v>
      </c>
      <c r="DD168" t="s">
        <v>230</v>
      </c>
      <c r="DE168" t="s">
        <v>160</v>
      </c>
      <c r="DF168" t="s">
        <v>160</v>
      </c>
      <c r="DG168" t="s">
        <v>161</v>
      </c>
      <c r="DH168" t="s">
        <v>3</v>
      </c>
      <c r="DI168" t="s">
        <v>161</v>
      </c>
      <c r="DJ168" t="s">
        <v>160</v>
      </c>
      <c r="DK168" t="s">
        <v>3</v>
      </c>
      <c r="DL168" t="s">
        <v>3</v>
      </c>
      <c r="DM168" t="s">
        <v>3</v>
      </c>
      <c r="DN168">
        <v>0</v>
      </c>
      <c r="DO168">
        <v>0</v>
      </c>
      <c r="DP168">
        <v>1</v>
      </c>
      <c r="DQ168">
        <v>1</v>
      </c>
      <c r="DU168">
        <v>1013</v>
      </c>
      <c r="DV168" t="s">
        <v>228</v>
      </c>
      <c r="DW168" t="s">
        <v>228</v>
      </c>
      <c r="DX168">
        <v>1</v>
      </c>
      <c r="EE168">
        <v>45269204</v>
      </c>
      <c r="EF168">
        <v>2</v>
      </c>
      <c r="EG168" t="s">
        <v>19</v>
      </c>
      <c r="EH168">
        <v>0</v>
      </c>
      <c r="EI168" t="s">
        <v>3</v>
      </c>
      <c r="EJ168">
        <v>1</v>
      </c>
      <c r="EK168">
        <v>17001</v>
      </c>
      <c r="EL168" t="s">
        <v>231</v>
      </c>
      <c r="EM168" t="s">
        <v>232</v>
      </c>
      <c r="EO168" t="s">
        <v>162</v>
      </c>
      <c r="EQ168">
        <v>0</v>
      </c>
      <c r="ER168">
        <v>2676.2</v>
      </c>
      <c r="ES168">
        <v>2456.7800000000002</v>
      </c>
      <c r="ET168">
        <v>24.79</v>
      </c>
      <c r="EU168">
        <v>1.57</v>
      </c>
      <c r="EV168">
        <v>194.63</v>
      </c>
      <c r="EW168">
        <v>21.65</v>
      </c>
      <c r="EX168">
        <v>0.13</v>
      </c>
      <c r="EY168">
        <v>0</v>
      </c>
      <c r="FQ168">
        <v>0</v>
      </c>
      <c r="FR168">
        <f t="shared" si="177"/>
        <v>0</v>
      </c>
      <c r="FS168">
        <v>0</v>
      </c>
      <c r="FT168" t="s">
        <v>22</v>
      </c>
      <c r="FU168" t="s">
        <v>23</v>
      </c>
      <c r="FX168">
        <v>80.64</v>
      </c>
      <c r="FY168">
        <v>63.494999999999997</v>
      </c>
      <c r="GA168" t="s">
        <v>3</v>
      </c>
      <c r="GD168">
        <v>0</v>
      </c>
      <c r="GF168">
        <v>-518771732</v>
      </c>
      <c r="GG168">
        <v>2</v>
      </c>
      <c r="GH168">
        <v>1</v>
      </c>
      <c r="GI168">
        <v>2</v>
      </c>
      <c r="GJ168">
        <v>0</v>
      </c>
      <c r="GK168">
        <f>ROUND(R168*(R12)/100,0)</f>
        <v>0</v>
      </c>
      <c r="GL168">
        <f t="shared" si="178"/>
        <v>0</v>
      </c>
      <c r="GM168">
        <f t="shared" si="179"/>
        <v>1175</v>
      </c>
      <c r="GN168">
        <f t="shared" si="180"/>
        <v>1175</v>
      </c>
      <c r="GO168">
        <f t="shared" si="181"/>
        <v>0</v>
      </c>
      <c r="GP168">
        <f t="shared" si="182"/>
        <v>0</v>
      </c>
      <c r="GR168">
        <v>0</v>
      </c>
      <c r="GS168">
        <v>3</v>
      </c>
      <c r="GT168">
        <v>0</v>
      </c>
      <c r="GU168" t="s">
        <v>3</v>
      </c>
      <c r="GV168">
        <f t="shared" si="183"/>
        <v>0</v>
      </c>
      <c r="GW168">
        <v>1</v>
      </c>
      <c r="GX168">
        <f t="shared" si="184"/>
        <v>0</v>
      </c>
      <c r="HA168">
        <v>0</v>
      </c>
      <c r="HB168">
        <v>0</v>
      </c>
      <c r="IK168">
        <v>0</v>
      </c>
    </row>
    <row r="169" spans="1:245">
      <c r="A169">
        <v>17</v>
      </c>
      <c r="B169">
        <v>1</v>
      </c>
      <c r="C169">
        <f>ROW(SmtRes!A397)</f>
        <v>397</v>
      </c>
      <c r="D169">
        <f>ROW(EtalonRes!A399)</f>
        <v>399</v>
      </c>
      <c r="E169" t="s">
        <v>378</v>
      </c>
      <c r="F169" t="s">
        <v>379</v>
      </c>
      <c r="G169" t="s">
        <v>380</v>
      </c>
      <c r="H169" t="s">
        <v>381</v>
      </c>
      <c r="I169">
        <v>2.67</v>
      </c>
      <c r="J169">
        <v>0</v>
      </c>
      <c r="O169">
        <f t="shared" si="152"/>
        <v>2710</v>
      </c>
      <c r="P169">
        <f t="shared" si="153"/>
        <v>814</v>
      </c>
      <c r="Q169">
        <f t="shared" si="154"/>
        <v>221</v>
      </c>
      <c r="R169">
        <f t="shared" si="155"/>
        <v>0</v>
      </c>
      <c r="S169">
        <f t="shared" si="156"/>
        <v>1675</v>
      </c>
      <c r="T169">
        <f t="shared" si="157"/>
        <v>0</v>
      </c>
      <c r="U169">
        <f t="shared" si="158"/>
        <v>8.5359899999999982</v>
      </c>
      <c r="V169">
        <f t="shared" si="159"/>
        <v>0</v>
      </c>
      <c r="W169">
        <f t="shared" si="160"/>
        <v>0</v>
      </c>
      <c r="X169">
        <f t="shared" si="161"/>
        <v>955</v>
      </c>
      <c r="Y169">
        <f t="shared" si="162"/>
        <v>1089</v>
      </c>
      <c r="AA169">
        <v>48370320</v>
      </c>
      <c r="AB169">
        <f t="shared" si="163"/>
        <v>95.43</v>
      </c>
      <c r="AC169">
        <f>ROUND((ES169),2)</f>
        <v>52.22</v>
      </c>
      <c r="AD169">
        <f>ROUND(((((ET169*1.25))-((EU169*1.25)))+AE169),2)</f>
        <v>13.16</v>
      </c>
      <c r="AE169">
        <f>ROUND(((EU169*1.25)),2)</f>
        <v>0</v>
      </c>
      <c r="AF169">
        <f>ROUND(((EV169*1.15)),2)</f>
        <v>30.05</v>
      </c>
      <c r="AG169">
        <f t="shared" si="164"/>
        <v>0</v>
      </c>
      <c r="AH169">
        <f>((EW169*1.15))</f>
        <v>3.1969999999999996</v>
      </c>
      <c r="AI169">
        <f>((EX169*1.25))</f>
        <v>0</v>
      </c>
      <c r="AJ169">
        <f t="shared" si="165"/>
        <v>0</v>
      </c>
      <c r="AK169">
        <v>88.88</v>
      </c>
      <c r="AL169">
        <v>52.22</v>
      </c>
      <c r="AM169">
        <v>10.53</v>
      </c>
      <c r="AN169">
        <v>0</v>
      </c>
      <c r="AO169">
        <v>26.13</v>
      </c>
      <c r="AP169">
        <v>0</v>
      </c>
      <c r="AQ169">
        <v>2.78</v>
      </c>
      <c r="AR169">
        <v>0</v>
      </c>
      <c r="AS169">
        <v>0</v>
      </c>
      <c r="AT169">
        <v>57</v>
      </c>
      <c r="AU169">
        <v>65</v>
      </c>
      <c r="AV169">
        <v>1</v>
      </c>
      <c r="AW169">
        <v>1</v>
      </c>
      <c r="AZ169">
        <v>1</v>
      </c>
      <c r="BA169">
        <v>20.88</v>
      </c>
      <c r="BB169">
        <v>6.28</v>
      </c>
      <c r="BC169">
        <v>5.84</v>
      </c>
      <c r="BD169" t="s">
        <v>3</v>
      </c>
      <c r="BE169" t="s">
        <v>3</v>
      </c>
      <c r="BF169" t="s">
        <v>3</v>
      </c>
      <c r="BG169" t="s">
        <v>3</v>
      </c>
      <c r="BH169">
        <v>0</v>
      </c>
      <c r="BI169">
        <v>1</v>
      </c>
      <c r="BJ169" t="s">
        <v>382</v>
      </c>
      <c r="BM169">
        <v>9001</v>
      </c>
      <c r="BN169">
        <v>0</v>
      </c>
      <c r="BO169" t="s">
        <v>379</v>
      </c>
      <c r="BP169">
        <v>1</v>
      </c>
      <c r="BQ169">
        <v>2</v>
      </c>
      <c r="BR169">
        <v>0</v>
      </c>
      <c r="BS169">
        <v>20.88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3</v>
      </c>
      <c r="BZ169">
        <v>90</v>
      </c>
      <c r="CA169">
        <v>85</v>
      </c>
      <c r="CF169">
        <v>0</v>
      </c>
      <c r="CG169">
        <v>0</v>
      </c>
      <c r="CM169">
        <v>0</v>
      </c>
      <c r="CN169" t="s">
        <v>937</v>
      </c>
      <c r="CO169">
        <v>0</v>
      </c>
      <c r="CP169">
        <f t="shared" si="166"/>
        <v>2710</v>
      </c>
      <c r="CQ169">
        <f t="shared" si="167"/>
        <v>304.96479999999997</v>
      </c>
      <c r="CR169">
        <f t="shared" si="168"/>
        <v>82.644800000000004</v>
      </c>
      <c r="CS169">
        <f t="shared" si="169"/>
        <v>0</v>
      </c>
      <c r="CT169">
        <f t="shared" si="170"/>
        <v>627.44399999999996</v>
      </c>
      <c r="CU169">
        <f t="shared" si="171"/>
        <v>0</v>
      </c>
      <c r="CV169">
        <f t="shared" si="172"/>
        <v>3.1969999999999996</v>
      </c>
      <c r="CW169">
        <f t="shared" si="173"/>
        <v>0</v>
      </c>
      <c r="CX169">
        <f t="shared" si="174"/>
        <v>0</v>
      </c>
      <c r="CY169">
        <f t="shared" si="175"/>
        <v>954.75</v>
      </c>
      <c r="CZ169">
        <f t="shared" si="176"/>
        <v>1088.75</v>
      </c>
      <c r="DC169" t="s">
        <v>3</v>
      </c>
      <c r="DD169" t="s">
        <v>3</v>
      </c>
      <c r="DE169" t="s">
        <v>160</v>
      </c>
      <c r="DF169" t="s">
        <v>160</v>
      </c>
      <c r="DG169" t="s">
        <v>161</v>
      </c>
      <c r="DH169" t="s">
        <v>3</v>
      </c>
      <c r="DI169" t="s">
        <v>161</v>
      </c>
      <c r="DJ169" t="s">
        <v>160</v>
      </c>
      <c r="DK169" t="s">
        <v>3</v>
      </c>
      <c r="DL169" t="s">
        <v>3</v>
      </c>
      <c r="DM169" t="s">
        <v>3</v>
      </c>
      <c r="DN169">
        <v>0</v>
      </c>
      <c r="DO169">
        <v>0</v>
      </c>
      <c r="DP169">
        <v>1</v>
      </c>
      <c r="DQ169">
        <v>1</v>
      </c>
      <c r="DU169">
        <v>1013</v>
      </c>
      <c r="DV169" t="s">
        <v>381</v>
      </c>
      <c r="DW169" t="s">
        <v>381</v>
      </c>
      <c r="DX169">
        <v>1</v>
      </c>
      <c r="EE169">
        <v>45269175</v>
      </c>
      <c r="EF169">
        <v>2</v>
      </c>
      <c r="EG169" t="s">
        <v>19</v>
      </c>
      <c r="EH169">
        <v>0</v>
      </c>
      <c r="EI169" t="s">
        <v>3</v>
      </c>
      <c r="EJ169">
        <v>1</v>
      </c>
      <c r="EK169">
        <v>9001</v>
      </c>
      <c r="EL169" t="s">
        <v>267</v>
      </c>
      <c r="EM169" t="s">
        <v>268</v>
      </c>
      <c r="EO169" t="s">
        <v>162</v>
      </c>
      <c r="EQ169">
        <v>0</v>
      </c>
      <c r="ER169">
        <v>88.88</v>
      </c>
      <c r="ES169">
        <v>52.22</v>
      </c>
      <c r="ET169">
        <v>10.53</v>
      </c>
      <c r="EU169">
        <v>0</v>
      </c>
      <c r="EV169">
        <v>26.13</v>
      </c>
      <c r="EW169">
        <v>2.78</v>
      </c>
      <c r="EX169">
        <v>0</v>
      </c>
      <c r="EY169">
        <v>0</v>
      </c>
      <c r="FQ169">
        <v>0</v>
      </c>
      <c r="FR169">
        <f t="shared" si="177"/>
        <v>0</v>
      </c>
      <c r="FS169">
        <v>0</v>
      </c>
      <c r="FT169" t="s">
        <v>22</v>
      </c>
      <c r="FU169" t="s">
        <v>23</v>
      </c>
      <c r="FX169">
        <v>56.7</v>
      </c>
      <c r="FY169">
        <v>65.025000000000006</v>
      </c>
      <c r="GA169" t="s">
        <v>3</v>
      </c>
      <c r="GD169">
        <v>0</v>
      </c>
      <c r="GF169">
        <v>-1582304715</v>
      </c>
      <c r="GG169">
        <v>2</v>
      </c>
      <c r="GH169">
        <v>1</v>
      </c>
      <c r="GI169">
        <v>2</v>
      </c>
      <c r="GJ169">
        <v>0</v>
      </c>
      <c r="GK169">
        <f>ROUND(R169*(R12)/100,0)</f>
        <v>0</v>
      </c>
      <c r="GL169">
        <f t="shared" si="178"/>
        <v>0</v>
      </c>
      <c r="GM169">
        <f t="shared" si="179"/>
        <v>4754</v>
      </c>
      <c r="GN169">
        <f t="shared" si="180"/>
        <v>4754</v>
      </c>
      <c r="GO169">
        <f t="shared" si="181"/>
        <v>0</v>
      </c>
      <c r="GP169">
        <f t="shared" si="182"/>
        <v>0</v>
      </c>
      <c r="GR169">
        <v>0</v>
      </c>
      <c r="GS169">
        <v>3</v>
      </c>
      <c r="GT169">
        <v>0</v>
      </c>
      <c r="GU169" t="s">
        <v>3</v>
      </c>
      <c r="GV169">
        <f t="shared" si="183"/>
        <v>0</v>
      </c>
      <c r="GW169">
        <v>1</v>
      </c>
      <c r="GX169">
        <f t="shared" si="184"/>
        <v>0</v>
      </c>
      <c r="HA169">
        <v>0</v>
      </c>
      <c r="HB169">
        <v>0</v>
      </c>
      <c r="IK169">
        <v>0</v>
      </c>
    </row>
    <row r="170" spans="1:245">
      <c r="A170">
        <v>17</v>
      </c>
      <c r="B170">
        <v>1</v>
      </c>
      <c r="E170" t="s">
        <v>383</v>
      </c>
      <c r="F170" t="s">
        <v>384</v>
      </c>
      <c r="G170" t="s">
        <v>385</v>
      </c>
      <c r="H170" t="s">
        <v>220</v>
      </c>
      <c r="I170">
        <v>1</v>
      </c>
      <c r="J170">
        <v>0</v>
      </c>
      <c r="O170">
        <f t="shared" si="152"/>
        <v>17067</v>
      </c>
      <c r="P170">
        <f t="shared" si="153"/>
        <v>17067</v>
      </c>
      <c r="Q170">
        <f t="shared" si="154"/>
        <v>0</v>
      </c>
      <c r="R170">
        <f t="shared" si="155"/>
        <v>0</v>
      </c>
      <c r="S170">
        <f t="shared" si="156"/>
        <v>0</v>
      </c>
      <c r="T170">
        <f t="shared" si="157"/>
        <v>0</v>
      </c>
      <c r="U170">
        <f t="shared" si="158"/>
        <v>0</v>
      </c>
      <c r="V170">
        <f t="shared" si="159"/>
        <v>0</v>
      </c>
      <c r="W170">
        <f t="shared" si="160"/>
        <v>0</v>
      </c>
      <c r="X170">
        <f t="shared" si="161"/>
        <v>0</v>
      </c>
      <c r="Y170">
        <f t="shared" si="162"/>
        <v>0</v>
      </c>
      <c r="AA170">
        <v>48370320</v>
      </c>
      <c r="AB170">
        <f t="shared" si="163"/>
        <v>4600.2299999999996</v>
      </c>
      <c r="AC170">
        <f>ROUND((ES170),2)</f>
        <v>4600.2299999999996</v>
      </c>
      <c r="AD170">
        <f>ROUND((((ET170)-(EU170))+AE170),2)</f>
        <v>0</v>
      </c>
      <c r="AE170">
        <f>ROUND((EU170),2)</f>
        <v>0</v>
      </c>
      <c r="AF170">
        <f>ROUND((EV170),2)</f>
        <v>0</v>
      </c>
      <c r="AG170">
        <f t="shared" si="164"/>
        <v>0</v>
      </c>
      <c r="AH170">
        <f>(EW170)</f>
        <v>0</v>
      </c>
      <c r="AI170">
        <f>(EX170)</f>
        <v>0</v>
      </c>
      <c r="AJ170">
        <f t="shared" si="165"/>
        <v>0</v>
      </c>
      <c r="AK170">
        <v>4600.2299999999996</v>
      </c>
      <c r="AL170">
        <v>4600.2299999999996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1</v>
      </c>
      <c r="AW170">
        <v>1</v>
      </c>
      <c r="AZ170">
        <v>1</v>
      </c>
      <c r="BA170">
        <v>1</v>
      </c>
      <c r="BB170">
        <v>1</v>
      </c>
      <c r="BC170">
        <v>3.71</v>
      </c>
      <c r="BD170" t="s">
        <v>3</v>
      </c>
      <c r="BE170" t="s">
        <v>3</v>
      </c>
      <c r="BF170" t="s">
        <v>3</v>
      </c>
      <c r="BG170" t="s">
        <v>3</v>
      </c>
      <c r="BH170">
        <v>3</v>
      </c>
      <c r="BI170">
        <v>1</v>
      </c>
      <c r="BJ170" t="s">
        <v>386</v>
      </c>
      <c r="BM170">
        <v>500001</v>
      </c>
      <c r="BN170">
        <v>0</v>
      </c>
      <c r="BO170" t="s">
        <v>384</v>
      </c>
      <c r="BP170">
        <v>1</v>
      </c>
      <c r="BQ170">
        <v>8</v>
      </c>
      <c r="BR170">
        <v>0</v>
      </c>
      <c r="BS170">
        <v>1</v>
      </c>
      <c r="BT170">
        <v>1</v>
      </c>
      <c r="BU170">
        <v>1</v>
      </c>
      <c r="BV170">
        <v>1</v>
      </c>
      <c r="BW170">
        <v>1</v>
      </c>
      <c r="BX170">
        <v>1</v>
      </c>
      <c r="BY170" t="s">
        <v>3</v>
      </c>
      <c r="BZ170">
        <v>0</v>
      </c>
      <c r="CA170">
        <v>0</v>
      </c>
      <c r="CF170">
        <v>0</v>
      </c>
      <c r="CG170">
        <v>0</v>
      </c>
      <c r="CM170">
        <v>0</v>
      </c>
      <c r="CN170" t="s">
        <v>937</v>
      </c>
      <c r="CO170">
        <v>0</v>
      </c>
      <c r="CP170">
        <f t="shared" si="166"/>
        <v>17067</v>
      </c>
      <c r="CQ170">
        <f t="shared" si="167"/>
        <v>17066.853299999999</v>
      </c>
      <c r="CR170">
        <f t="shared" si="168"/>
        <v>0</v>
      </c>
      <c r="CS170">
        <f t="shared" si="169"/>
        <v>0</v>
      </c>
      <c r="CT170">
        <f t="shared" si="170"/>
        <v>0</v>
      </c>
      <c r="CU170">
        <f t="shared" si="171"/>
        <v>0</v>
      </c>
      <c r="CV170">
        <f t="shared" si="172"/>
        <v>0</v>
      </c>
      <c r="CW170">
        <f t="shared" si="173"/>
        <v>0</v>
      </c>
      <c r="CX170">
        <f t="shared" si="174"/>
        <v>0</v>
      </c>
      <c r="CY170">
        <f t="shared" si="175"/>
        <v>0</v>
      </c>
      <c r="CZ170">
        <f t="shared" si="176"/>
        <v>0</v>
      </c>
      <c r="DC170" t="s">
        <v>3</v>
      </c>
      <c r="DD170" t="s">
        <v>3</v>
      </c>
      <c r="DE170" t="s">
        <v>3</v>
      </c>
      <c r="DF170" t="s">
        <v>3</v>
      </c>
      <c r="DG170" t="s">
        <v>3</v>
      </c>
      <c r="DH170" t="s">
        <v>3</v>
      </c>
      <c r="DI170" t="s">
        <v>3</v>
      </c>
      <c r="DJ170" t="s">
        <v>3</v>
      </c>
      <c r="DK170" t="s">
        <v>3</v>
      </c>
      <c r="DL170" t="s">
        <v>3</v>
      </c>
      <c r="DM170" t="s">
        <v>3</v>
      </c>
      <c r="DN170">
        <v>0</v>
      </c>
      <c r="DO170">
        <v>0</v>
      </c>
      <c r="DP170">
        <v>1</v>
      </c>
      <c r="DQ170">
        <v>1</v>
      </c>
      <c r="DU170">
        <v>1010</v>
      </c>
      <c r="DV170" t="s">
        <v>220</v>
      </c>
      <c r="DW170" t="s">
        <v>220</v>
      </c>
      <c r="DX170">
        <v>1</v>
      </c>
      <c r="EE170">
        <v>45269109</v>
      </c>
      <c r="EF170">
        <v>8</v>
      </c>
      <c r="EG170" t="s">
        <v>174</v>
      </c>
      <c r="EH170">
        <v>0</v>
      </c>
      <c r="EI170" t="s">
        <v>3</v>
      </c>
      <c r="EJ170">
        <v>1</v>
      </c>
      <c r="EK170">
        <v>500001</v>
      </c>
      <c r="EL170" t="s">
        <v>175</v>
      </c>
      <c r="EM170" t="s">
        <v>176</v>
      </c>
      <c r="EO170" t="s">
        <v>162</v>
      </c>
      <c r="EQ170">
        <v>0</v>
      </c>
      <c r="ER170">
        <v>4600.2299999999996</v>
      </c>
      <c r="ES170">
        <v>4600.2299999999996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FQ170">
        <v>0</v>
      </c>
      <c r="FR170">
        <f t="shared" si="177"/>
        <v>0</v>
      </c>
      <c r="FS170">
        <v>0</v>
      </c>
      <c r="FX170">
        <v>0</v>
      </c>
      <c r="FY170">
        <v>0</v>
      </c>
      <c r="GA170" t="s">
        <v>3</v>
      </c>
      <c r="GD170">
        <v>0</v>
      </c>
      <c r="GF170">
        <v>1617511163</v>
      </c>
      <c r="GG170">
        <v>2</v>
      </c>
      <c r="GH170">
        <v>1</v>
      </c>
      <c r="GI170">
        <v>2</v>
      </c>
      <c r="GJ170">
        <v>0</v>
      </c>
      <c r="GK170">
        <f>ROUND(R170*(R12)/100,0)</f>
        <v>0</v>
      </c>
      <c r="GL170">
        <f t="shared" si="178"/>
        <v>0</v>
      </c>
      <c r="GM170">
        <f t="shared" si="179"/>
        <v>17067</v>
      </c>
      <c r="GN170">
        <f t="shared" si="180"/>
        <v>17067</v>
      </c>
      <c r="GO170">
        <f t="shared" si="181"/>
        <v>0</v>
      </c>
      <c r="GP170">
        <f t="shared" si="182"/>
        <v>0</v>
      </c>
      <c r="GR170">
        <v>0</v>
      </c>
      <c r="GS170">
        <v>3</v>
      </c>
      <c r="GT170">
        <v>0</v>
      </c>
      <c r="GU170" t="s">
        <v>3</v>
      </c>
      <c r="GV170">
        <f t="shared" si="183"/>
        <v>0</v>
      </c>
      <c r="GW170">
        <v>1</v>
      </c>
      <c r="GX170">
        <f t="shared" si="184"/>
        <v>0</v>
      </c>
      <c r="HA170">
        <v>0</v>
      </c>
      <c r="HB170">
        <v>0</v>
      </c>
      <c r="IK170">
        <v>0</v>
      </c>
    </row>
    <row r="171" spans="1:245">
      <c r="A171">
        <v>19</v>
      </c>
      <c r="B171">
        <v>1</v>
      </c>
      <c r="F171" t="s">
        <v>3</v>
      </c>
      <c r="G171" t="s">
        <v>387</v>
      </c>
      <c r="H171" t="s">
        <v>3</v>
      </c>
      <c r="AA171">
        <v>1</v>
      </c>
      <c r="IK171">
        <v>0</v>
      </c>
    </row>
    <row r="172" spans="1:245">
      <c r="A172">
        <v>17</v>
      </c>
      <c r="B172">
        <v>1</v>
      </c>
      <c r="C172">
        <f>ROW(SmtRes!A400)</f>
        <v>400</v>
      </c>
      <c r="D172">
        <f>ROW(EtalonRes!A402)</f>
        <v>402</v>
      </c>
      <c r="E172" t="s">
        <v>388</v>
      </c>
      <c r="F172" t="s">
        <v>53</v>
      </c>
      <c r="G172" t="s">
        <v>54</v>
      </c>
      <c r="H172" t="s">
        <v>55</v>
      </c>
      <c r="I172">
        <f>ROUND(1.47/100,9)</f>
        <v>1.47E-2</v>
      </c>
      <c r="J172">
        <v>0</v>
      </c>
      <c r="O172">
        <f t="shared" ref="O172:O188" si="188">ROUND(CP172,0)</f>
        <v>278</v>
      </c>
      <c r="P172">
        <f t="shared" ref="P172:P188" si="189">ROUND(CQ172*I172,0)</f>
        <v>0</v>
      </c>
      <c r="Q172">
        <f t="shared" ref="Q172:Q188" si="190">ROUND(CR172*I172,0)</f>
        <v>37</v>
      </c>
      <c r="R172">
        <f t="shared" ref="R172:R188" si="191">ROUND(CS172*I172,0)</f>
        <v>29</v>
      </c>
      <c r="S172">
        <f t="shared" ref="S172:S188" si="192">ROUND(CT172*I172,0)</f>
        <v>241</v>
      </c>
      <c r="T172">
        <f t="shared" ref="T172:T188" si="193">ROUND(CU172*I172,0)</f>
        <v>0</v>
      </c>
      <c r="U172">
        <f t="shared" ref="U172:U188" si="194">CV172*I172</f>
        <v>1.527477</v>
      </c>
      <c r="V172">
        <f t="shared" ref="V172:V188" si="195">CW172*I172</f>
        <v>0.113778</v>
      </c>
      <c r="W172">
        <f t="shared" ref="W172:W188" si="196">ROUND(CX172*I172,0)</f>
        <v>0</v>
      </c>
      <c r="X172">
        <f t="shared" ref="X172:X188" si="197">ROUND(CY172,0)</f>
        <v>186</v>
      </c>
      <c r="Y172">
        <f t="shared" ref="Y172:Y188" si="198">ROUND(CZ172,0)</f>
        <v>146</v>
      </c>
      <c r="AA172">
        <v>48370320</v>
      </c>
      <c r="AB172">
        <f t="shared" ref="AB172:AB188" si="199">ROUND((AC172+AD172+AF172),2)</f>
        <v>1033.94</v>
      </c>
      <c r="AC172">
        <f t="shared" ref="AC172:AC188" si="200">ROUND((ES172),2)</f>
        <v>0</v>
      </c>
      <c r="AD172">
        <f>ROUND((((ET172)-(EU172))+AE172),2)</f>
        <v>248.38</v>
      </c>
      <c r="AE172">
        <f>ROUND((EU172),2)</f>
        <v>93.65</v>
      </c>
      <c r="AF172">
        <f>ROUND((EV172),2)</f>
        <v>785.56</v>
      </c>
      <c r="AG172">
        <f t="shared" ref="AG172:AG188" si="201">ROUND((AP172),2)</f>
        <v>0</v>
      </c>
      <c r="AH172">
        <f>(EW172)</f>
        <v>103.91</v>
      </c>
      <c r="AI172">
        <f>(EX172)</f>
        <v>7.74</v>
      </c>
      <c r="AJ172">
        <f t="shared" ref="AJ172:AJ188" si="202">ROUND((AS172),2)</f>
        <v>0</v>
      </c>
      <c r="AK172">
        <v>1033.94</v>
      </c>
      <c r="AL172">
        <v>0</v>
      </c>
      <c r="AM172">
        <v>248.38</v>
      </c>
      <c r="AN172">
        <v>93.65</v>
      </c>
      <c r="AO172">
        <v>785.56</v>
      </c>
      <c r="AP172">
        <v>0</v>
      </c>
      <c r="AQ172">
        <v>103.91</v>
      </c>
      <c r="AR172">
        <v>7.74</v>
      </c>
      <c r="AS172">
        <v>0</v>
      </c>
      <c r="AT172">
        <v>69</v>
      </c>
      <c r="AU172">
        <v>54</v>
      </c>
      <c r="AV172">
        <v>1</v>
      </c>
      <c r="AW172">
        <v>1</v>
      </c>
      <c r="AZ172">
        <v>1</v>
      </c>
      <c r="BA172">
        <v>20.88</v>
      </c>
      <c r="BB172">
        <v>10.210000000000001</v>
      </c>
      <c r="BC172">
        <v>1</v>
      </c>
      <c r="BD172" t="s">
        <v>3</v>
      </c>
      <c r="BE172" t="s">
        <v>3</v>
      </c>
      <c r="BF172" t="s">
        <v>3</v>
      </c>
      <c r="BG172" t="s">
        <v>3</v>
      </c>
      <c r="BH172">
        <v>0</v>
      </c>
      <c r="BI172">
        <v>1</v>
      </c>
      <c r="BJ172" t="s">
        <v>56</v>
      </c>
      <c r="BM172">
        <v>46001</v>
      </c>
      <c r="BN172">
        <v>0</v>
      </c>
      <c r="BO172" t="s">
        <v>53</v>
      </c>
      <c r="BP172">
        <v>1</v>
      </c>
      <c r="BQ172">
        <v>2</v>
      </c>
      <c r="BR172">
        <v>0</v>
      </c>
      <c r="BS172">
        <v>20.88</v>
      </c>
      <c r="BT172">
        <v>1</v>
      </c>
      <c r="BU172">
        <v>1</v>
      </c>
      <c r="BV172">
        <v>1</v>
      </c>
      <c r="BW172">
        <v>1</v>
      </c>
      <c r="BX172">
        <v>1</v>
      </c>
      <c r="BY172" t="s">
        <v>3</v>
      </c>
      <c r="BZ172">
        <v>110</v>
      </c>
      <c r="CA172">
        <v>70</v>
      </c>
      <c r="CF172">
        <v>0</v>
      </c>
      <c r="CG172">
        <v>0</v>
      </c>
      <c r="CM172">
        <v>0</v>
      </c>
      <c r="CN172" t="s">
        <v>3</v>
      </c>
      <c r="CO172">
        <v>0</v>
      </c>
      <c r="CP172">
        <f t="shared" ref="CP172:CP188" si="203">(P172+Q172+S172)</f>
        <v>278</v>
      </c>
      <c r="CQ172">
        <f t="shared" ref="CQ172:CQ188" si="204">AC172*BC172</f>
        <v>0</v>
      </c>
      <c r="CR172">
        <f t="shared" ref="CR172:CR188" si="205">AD172*BB172</f>
        <v>2535.9598000000001</v>
      </c>
      <c r="CS172">
        <f t="shared" ref="CS172:CS188" si="206">AE172*BS172</f>
        <v>1955.412</v>
      </c>
      <c r="CT172">
        <f t="shared" ref="CT172:CT188" si="207">AF172*BA172</f>
        <v>16402.492799999996</v>
      </c>
      <c r="CU172">
        <f t="shared" ref="CU172:CU188" si="208">AG172</f>
        <v>0</v>
      </c>
      <c r="CV172">
        <f t="shared" ref="CV172:CV188" si="209">AH172</f>
        <v>103.91</v>
      </c>
      <c r="CW172">
        <f t="shared" ref="CW172:CW188" si="210">AI172</f>
        <v>7.74</v>
      </c>
      <c r="CX172">
        <f t="shared" ref="CX172:CX188" si="211">AJ172</f>
        <v>0</v>
      </c>
      <c r="CY172">
        <f t="shared" ref="CY172:CY188" si="212">(((S172+R172)*AT172)/100)</f>
        <v>186.3</v>
      </c>
      <c r="CZ172">
        <f t="shared" ref="CZ172:CZ188" si="213">(((S172+R172)*AU172)/100)</f>
        <v>145.80000000000001</v>
      </c>
      <c r="DC172" t="s">
        <v>3</v>
      </c>
      <c r="DD172" t="s">
        <v>3</v>
      </c>
      <c r="DE172" t="s">
        <v>3</v>
      </c>
      <c r="DF172" t="s">
        <v>3</v>
      </c>
      <c r="DG172" t="s">
        <v>3</v>
      </c>
      <c r="DH172" t="s">
        <v>3</v>
      </c>
      <c r="DI172" t="s">
        <v>3</v>
      </c>
      <c r="DJ172" t="s">
        <v>3</v>
      </c>
      <c r="DK172" t="s">
        <v>3</v>
      </c>
      <c r="DL172" t="s">
        <v>3</v>
      </c>
      <c r="DM172" t="s">
        <v>3</v>
      </c>
      <c r="DN172">
        <v>0</v>
      </c>
      <c r="DO172">
        <v>0</v>
      </c>
      <c r="DP172">
        <v>1</v>
      </c>
      <c r="DQ172">
        <v>1</v>
      </c>
      <c r="DU172">
        <v>1005</v>
      </c>
      <c r="DV172" t="s">
        <v>55</v>
      </c>
      <c r="DW172" t="s">
        <v>55</v>
      </c>
      <c r="DX172">
        <v>100</v>
      </c>
      <c r="EE172">
        <v>45269244</v>
      </c>
      <c r="EF172">
        <v>2</v>
      </c>
      <c r="EG172" t="s">
        <v>19</v>
      </c>
      <c r="EH172">
        <v>0</v>
      </c>
      <c r="EI172" t="s">
        <v>3</v>
      </c>
      <c r="EJ172">
        <v>1</v>
      </c>
      <c r="EK172">
        <v>46001</v>
      </c>
      <c r="EL172" t="s">
        <v>20</v>
      </c>
      <c r="EM172" t="s">
        <v>21</v>
      </c>
      <c r="EO172" t="s">
        <v>3</v>
      </c>
      <c r="EQ172">
        <v>0</v>
      </c>
      <c r="ER172">
        <v>1033.94</v>
      </c>
      <c r="ES172">
        <v>0</v>
      </c>
      <c r="ET172">
        <v>248.38</v>
      </c>
      <c r="EU172">
        <v>93.65</v>
      </c>
      <c r="EV172">
        <v>785.56</v>
      </c>
      <c r="EW172">
        <v>103.91</v>
      </c>
      <c r="EX172">
        <v>7.74</v>
      </c>
      <c r="EY172">
        <v>0</v>
      </c>
      <c r="FQ172">
        <v>0</v>
      </c>
      <c r="FR172">
        <f t="shared" ref="FR172:FR188" si="214">ROUND(IF(AND(BH172=3,BI172=3),P172,0),0)</f>
        <v>0</v>
      </c>
      <c r="FS172">
        <v>0</v>
      </c>
      <c r="FT172" t="s">
        <v>22</v>
      </c>
      <c r="FU172" t="s">
        <v>23</v>
      </c>
      <c r="FX172">
        <v>69.3</v>
      </c>
      <c r="FY172">
        <v>53.55</v>
      </c>
      <c r="GA172" t="s">
        <v>3</v>
      </c>
      <c r="GD172">
        <v>0</v>
      </c>
      <c r="GF172">
        <v>-1978642567</v>
      </c>
      <c r="GG172">
        <v>2</v>
      </c>
      <c r="GH172">
        <v>1</v>
      </c>
      <c r="GI172">
        <v>2</v>
      </c>
      <c r="GJ172">
        <v>0</v>
      </c>
      <c r="GK172">
        <f>ROUND(R172*(R12)/100,0)</f>
        <v>0</v>
      </c>
      <c r="GL172">
        <f t="shared" ref="GL172:GL188" si="215">ROUND(IF(AND(BH172=3,BI172=3,FS172&lt;&gt;0),P172,0),0)</f>
        <v>0</v>
      </c>
      <c r="GM172">
        <f t="shared" ref="GM172:GM188" si="216">ROUND(O172+X172+Y172+GK172,0)+GX172</f>
        <v>610</v>
      </c>
      <c r="GN172">
        <f t="shared" ref="GN172:GN188" si="217">IF(OR(BI172=0,BI172=1),ROUND(O172+X172+Y172+GK172,0),0)</f>
        <v>610</v>
      </c>
      <c r="GO172">
        <f t="shared" ref="GO172:GO188" si="218">IF(BI172=2,ROUND(O172+X172+Y172+GK172,0),0)</f>
        <v>0</v>
      </c>
      <c r="GP172">
        <f t="shared" ref="GP172:GP188" si="219">IF(BI172=4,ROUND(O172+X172+Y172+GK172,0)+GX172,0)</f>
        <v>0</v>
      </c>
      <c r="GR172">
        <v>0</v>
      </c>
      <c r="GS172">
        <v>3</v>
      </c>
      <c r="GT172">
        <v>0</v>
      </c>
      <c r="GU172" t="s">
        <v>3</v>
      </c>
      <c r="GV172">
        <f t="shared" ref="GV172:GV188" si="220">ROUND(GT172,2)</f>
        <v>0</v>
      </c>
      <c r="GW172">
        <v>1</v>
      </c>
      <c r="GX172">
        <f t="shared" ref="GX172:GX188" si="221">ROUND(GV172*GW172*I172,0)</f>
        <v>0</v>
      </c>
      <c r="HA172">
        <v>0</v>
      </c>
      <c r="HB172">
        <v>0</v>
      </c>
      <c r="IK172">
        <v>0</v>
      </c>
    </row>
    <row r="173" spans="1:245">
      <c r="A173">
        <v>17</v>
      </c>
      <c r="B173">
        <v>1</v>
      </c>
      <c r="C173">
        <f>ROW(SmtRes!A417)</f>
        <v>417</v>
      </c>
      <c r="D173">
        <f>ROW(EtalonRes!A419)</f>
        <v>419</v>
      </c>
      <c r="E173" t="s">
        <v>389</v>
      </c>
      <c r="F173" t="s">
        <v>238</v>
      </c>
      <c r="G173" t="s">
        <v>239</v>
      </c>
      <c r="H173" t="s">
        <v>240</v>
      </c>
      <c r="I173">
        <f>ROUND(3.57/100,9)</f>
        <v>3.5700000000000003E-2</v>
      </c>
      <c r="J173">
        <v>0</v>
      </c>
      <c r="O173">
        <f t="shared" si="188"/>
        <v>6426</v>
      </c>
      <c r="P173">
        <f t="shared" si="189"/>
        <v>5188</v>
      </c>
      <c r="Q173">
        <f t="shared" si="190"/>
        <v>471</v>
      </c>
      <c r="R173">
        <f t="shared" si="191"/>
        <v>128</v>
      </c>
      <c r="S173">
        <f t="shared" si="192"/>
        <v>767</v>
      </c>
      <c r="T173">
        <f t="shared" si="193"/>
        <v>0</v>
      </c>
      <c r="U173">
        <f t="shared" si="194"/>
        <v>4.2812153999999998</v>
      </c>
      <c r="V173">
        <f t="shared" si="195"/>
        <v>0.50649375000000008</v>
      </c>
      <c r="W173">
        <f t="shared" si="196"/>
        <v>0</v>
      </c>
      <c r="X173">
        <f t="shared" si="197"/>
        <v>662</v>
      </c>
      <c r="Y173">
        <f t="shared" si="198"/>
        <v>430</v>
      </c>
      <c r="AA173">
        <v>48370320</v>
      </c>
      <c r="AB173">
        <f t="shared" si="199"/>
        <v>26356.62</v>
      </c>
      <c r="AC173">
        <f t="shared" si="200"/>
        <v>23514.06</v>
      </c>
      <c r="AD173">
        <f>ROUND(((((ET173*1.25))-((EU173*1.25)))+AE173),2)</f>
        <v>1813.63</v>
      </c>
      <c r="AE173">
        <f>ROUND(((EU173*1.25)),2)</f>
        <v>171.68</v>
      </c>
      <c r="AF173">
        <f>ROUND(((EV173*1.15)),2)</f>
        <v>1028.93</v>
      </c>
      <c r="AG173">
        <f t="shared" si="201"/>
        <v>0</v>
      </c>
      <c r="AH173">
        <f>((EW173*1.15))</f>
        <v>119.922</v>
      </c>
      <c r="AI173">
        <f>((EX173*1.25))</f>
        <v>14.1875</v>
      </c>
      <c r="AJ173">
        <f t="shared" si="202"/>
        <v>0</v>
      </c>
      <c r="AK173">
        <v>25859.68</v>
      </c>
      <c r="AL173">
        <v>23514.06</v>
      </c>
      <c r="AM173">
        <v>1450.9</v>
      </c>
      <c r="AN173">
        <v>137.34</v>
      </c>
      <c r="AO173">
        <v>894.72</v>
      </c>
      <c r="AP173">
        <v>0</v>
      </c>
      <c r="AQ173">
        <v>104.28</v>
      </c>
      <c r="AR173">
        <v>11.35</v>
      </c>
      <c r="AS173">
        <v>0</v>
      </c>
      <c r="AT173">
        <v>74</v>
      </c>
      <c r="AU173">
        <v>48</v>
      </c>
      <c r="AV173">
        <v>1</v>
      </c>
      <c r="AW173">
        <v>1</v>
      </c>
      <c r="AZ173">
        <v>1</v>
      </c>
      <c r="BA173">
        <v>20.88</v>
      </c>
      <c r="BB173">
        <v>7.28</v>
      </c>
      <c r="BC173">
        <v>6.18</v>
      </c>
      <c r="BD173" t="s">
        <v>3</v>
      </c>
      <c r="BE173" t="s">
        <v>3</v>
      </c>
      <c r="BF173" t="s">
        <v>3</v>
      </c>
      <c r="BG173" t="s">
        <v>3</v>
      </c>
      <c r="BH173">
        <v>0</v>
      </c>
      <c r="BI173">
        <v>1</v>
      </c>
      <c r="BJ173" t="s">
        <v>241</v>
      </c>
      <c r="BM173">
        <v>10001</v>
      </c>
      <c r="BN173">
        <v>0</v>
      </c>
      <c r="BO173" t="s">
        <v>238</v>
      </c>
      <c r="BP173">
        <v>1</v>
      </c>
      <c r="BQ173">
        <v>2</v>
      </c>
      <c r="BR173">
        <v>0</v>
      </c>
      <c r="BS173">
        <v>20.88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3</v>
      </c>
      <c r="BZ173">
        <v>118</v>
      </c>
      <c r="CA173">
        <v>63</v>
      </c>
      <c r="CF173">
        <v>0</v>
      </c>
      <c r="CG173">
        <v>0</v>
      </c>
      <c r="CM173">
        <v>0</v>
      </c>
      <c r="CN173" t="s">
        <v>937</v>
      </c>
      <c r="CO173">
        <v>0</v>
      </c>
      <c r="CP173">
        <f t="shared" si="203"/>
        <v>6426</v>
      </c>
      <c r="CQ173">
        <f t="shared" si="204"/>
        <v>145316.89079999999</v>
      </c>
      <c r="CR173">
        <f t="shared" si="205"/>
        <v>13203.226400000001</v>
      </c>
      <c r="CS173">
        <f t="shared" si="206"/>
        <v>3584.6783999999998</v>
      </c>
      <c r="CT173">
        <f t="shared" si="207"/>
        <v>21484.058400000002</v>
      </c>
      <c r="CU173">
        <f t="shared" si="208"/>
        <v>0</v>
      </c>
      <c r="CV173">
        <f t="shared" si="209"/>
        <v>119.922</v>
      </c>
      <c r="CW173">
        <f t="shared" si="210"/>
        <v>14.1875</v>
      </c>
      <c r="CX173">
        <f t="shared" si="211"/>
        <v>0</v>
      </c>
      <c r="CY173">
        <f t="shared" si="212"/>
        <v>662.3</v>
      </c>
      <c r="CZ173">
        <f t="shared" si="213"/>
        <v>429.6</v>
      </c>
      <c r="DC173" t="s">
        <v>3</v>
      </c>
      <c r="DD173" t="s">
        <v>3</v>
      </c>
      <c r="DE173" t="s">
        <v>160</v>
      </c>
      <c r="DF173" t="s">
        <v>160</v>
      </c>
      <c r="DG173" t="s">
        <v>161</v>
      </c>
      <c r="DH173" t="s">
        <v>3</v>
      </c>
      <c r="DI173" t="s">
        <v>161</v>
      </c>
      <c r="DJ173" t="s">
        <v>160</v>
      </c>
      <c r="DK173" t="s">
        <v>3</v>
      </c>
      <c r="DL173" t="s">
        <v>3</v>
      </c>
      <c r="DM173" t="s">
        <v>3</v>
      </c>
      <c r="DN173">
        <v>0</v>
      </c>
      <c r="DO173">
        <v>0</v>
      </c>
      <c r="DP173">
        <v>1</v>
      </c>
      <c r="DQ173">
        <v>1</v>
      </c>
      <c r="DU173">
        <v>1013</v>
      </c>
      <c r="DV173" t="s">
        <v>240</v>
      </c>
      <c r="DW173" t="s">
        <v>240</v>
      </c>
      <c r="DX173">
        <v>1</v>
      </c>
      <c r="EE173">
        <v>45269176</v>
      </c>
      <c r="EF173">
        <v>2</v>
      </c>
      <c r="EG173" t="s">
        <v>19</v>
      </c>
      <c r="EH173">
        <v>0</v>
      </c>
      <c r="EI173" t="s">
        <v>3</v>
      </c>
      <c r="EJ173">
        <v>1</v>
      </c>
      <c r="EK173">
        <v>10001</v>
      </c>
      <c r="EL173" t="s">
        <v>242</v>
      </c>
      <c r="EM173" t="s">
        <v>243</v>
      </c>
      <c r="EO173" t="s">
        <v>162</v>
      </c>
      <c r="EQ173">
        <v>0</v>
      </c>
      <c r="ER173">
        <v>25859.68</v>
      </c>
      <c r="ES173">
        <v>23514.06</v>
      </c>
      <c r="ET173">
        <v>1450.9</v>
      </c>
      <c r="EU173">
        <v>137.34</v>
      </c>
      <c r="EV173">
        <v>894.72</v>
      </c>
      <c r="EW173">
        <v>104.28</v>
      </c>
      <c r="EX173">
        <v>11.35</v>
      </c>
      <c r="EY173">
        <v>0</v>
      </c>
      <c r="FQ173">
        <v>0</v>
      </c>
      <c r="FR173">
        <f t="shared" si="214"/>
        <v>0</v>
      </c>
      <c r="FS173">
        <v>0</v>
      </c>
      <c r="FT173" t="s">
        <v>22</v>
      </c>
      <c r="FU173" t="s">
        <v>23</v>
      </c>
      <c r="FX173">
        <v>74.34</v>
      </c>
      <c r="FY173">
        <v>48.195</v>
      </c>
      <c r="GA173" t="s">
        <v>3</v>
      </c>
      <c r="GD173">
        <v>0</v>
      </c>
      <c r="GF173">
        <v>-778954315</v>
      </c>
      <c r="GG173">
        <v>2</v>
      </c>
      <c r="GH173">
        <v>1</v>
      </c>
      <c r="GI173">
        <v>2</v>
      </c>
      <c r="GJ173">
        <v>0</v>
      </c>
      <c r="GK173">
        <f>ROUND(R173*(R12)/100,0)</f>
        <v>0</v>
      </c>
      <c r="GL173">
        <f t="shared" si="215"/>
        <v>0</v>
      </c>
      <c r="GM173">
        <f t="shared" si="216"/>
        <v>7518</v>
      </c>
      <c r="GN173">
        <f t="shared" si="217"/>
        <v>7518</v>
      </c>
      <c r="GO173">
        <f t="shared" si="218"/>
        <v>0</v>
      </c>
      <c r="GP173">
        <f t="shared" si="219"/>
        <v>0</v>
      </c>
      <c r="GR173">
        <v>0</v>
      </c>
      <c r="GS173">
        <v>3</v>
      </c>
      <c r="GT173">
        <v>0</v>
      </c>
      <c r="GU173" t="s">
        <v>3</v>
      </c>
      <c r="GV173">
        <f t="shared" si="220"/>
        <v>0</v>
      </c>
      <c r="GW173">
        <v>1</v>
      </c>
      <c r="GX173">
        <f t="shared" si="221"/>
        <v>0</v>
      </c>
      <c r="HA173">
        <v>0</v>
      </c>
      <c r="HB173">
        <v>0</v>
      </c>
      <c r="IK173">
        <v>0</v>
      </c>
    </row>
    <row r="174" spans="1:245">
      <c r="A174">
        <v>18</v>
      </c>
      <c r="B174">
        <v>1</v>
      </c>
      <c r="C174">
        <v>415</v>
      </c>
      <c r="E174" t="s">
        <v>390</v>
      </c>
      <c r="F174" t="s">
        <v>245</v>
      </c>
      <c r="G174" t="s">
        <v>246</v>
      </c>
      <c r="H174" t="s">
        <v>189</v>
      </c>
      <c r="I174">
        <f>I173*J174</f>
        <v>-3.57</v>
      </c>
      <c r="J174">
        <v>-99.999999999999986</v>
      </c>
      <c r="O174">
        <f t="shared" si="188"/>
        <v>-4707</v>
      </c>
      <c r="P174">
        <f t="shared" si="189"/>
        <v>-4707</v>
      </c>
      <c r="Q174">
        <f t="shared" si="190"/>
        <v>0</v>
      </c>
      <c r="R174">
        <f t="shared" si="191"/>
        <v>0</v>
      </c>
      <c r="S174">
        <f t="shared" si="192"/>
        <v>0</v>
      </c>
      <c r="T174">
        <f t="shared" si="193"/>
        <v>0</v>
      </c>
      <c r="U174">
        <f t="shared" si="194"/>
        <v>0</v>
      </c>
      <c r="V174">
        <f t="shared" si="195"/>
        <v>0</v>
      </c>
      <c r="W174">
        <f t="shared" si="196"/>
        <v>0</v>
      </c>
      <c r="X174">
        <f t="shared" si="197"/>
        <v>0</v>
      </c>
      <c r="Y174">
        <f t="shared" si="198"/>
        <v>0</v>
      </c>
      <c r="AA174">
        <v>48370320</v>
      </c>
      <c r="AB174">
        <f t="shared" si="199"/>
        <v>208.29</v>
      </c>
      <c r="AC174">
        <f t="shared" si="200"/>
        <v>208.29</v>
      </c>
      <c r="AD174">
        <f>ROUND((((ET174)-(EU174))+AE174),2)</f>
        <v>0</v>
      </c>
      <c r="AE174">
        <f t="shared" ref="AE174:AF176" si="222">ROUND((EU174),2)</f>
        <v>0</v>
      </c>
      <c r="AF174">
        <f t="shared" si="222"/>
        <v>0</v>
      </c>
      <c r="AG174">
        <f t="shared" si="201"/>
        <v>0</v>
      </c>
      <c r="AH174">
        <f t="shared" ref="AH174:AI176" si="223">(EW174)</f>
        <v>0</v>
      </c>
      <c r="AI174">
        <f t="shared" si="223"/>
        <v>0</v>
      </c>
      <c r="AJ174">
        <f t="shared" si="202"/>
        <v>0</v>
      </c>
      <c r="AK174">
        <v>208.29</v>
      </c>
      <c r="AL174">
        <v>208.29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74</v>
      </c>
      <c r="AU174">
        <v>48</v>
      </c>
      <c r="AV174">
        <v>1</v>
      </c>
      <c r="AW174">
        <v>1</v>
      </c>
      <c r="AZ174">
        <v>1</v>
      </c>
      <c r="BA174">
        <v>1</v>
      </c>
      <c r="BB174">
        <v>1</v>
      </c>
      <c r="BC174">
        <v>6.33</v>
      </c>
      <c r="BD174" t="s">
        <v>3</v>
      </c>
      <c r="BE174" t="s">
        <v>3</v>
      </c>
      <c r="BF174" t="s">
        <v>3</v>
      </c>
      <c r="BG174" t="s">
        <v>3</v>
      </c>
      <c r="BH174">
        <v>3</v>
      </c>
      <c r="BI174">
        <v>1</v>
      </c>
      <c r="BJ174" t="s">
        <v>247</v>
      </c>
      <c r="BM174">
        <v>10001</v>
      </c>
      <c r="BN174">
        <v>0</v>
      </c>
      <c r="BO174" t="s">
        <v>245</v>
      </c>
      <c r="BP174">
        <v>1</v>
      </c>
      <c r="BQ174">
        <v>2</v>
      </c>
      <c r="BR174">
        <v>1</v>
      </c>
      <c r="BS174">
        <v>1</v>
      </c>
      <c r="BT174">
        <v>1</v>
      </c>
      <c r="BU174">
        <v>1</v>
      </c>
      <c r="BV174">
        <v>1</v>
      </c>
      <c r="BW174">
        <v>1</v>
      </c>
      <c r="BX174">
        <v>1</v>
      </c>
      <c r="BY174" t="s">
        <v>3</v>
      </c>
      <c r="BZ174">
        <v>118</v>
      </c>
      <c r="CA174">
        <v>63</v>
      </c>
      <c r="CF174">
        <v>0</v>
      </c>
      <c r="CG174">
        <v>0</v>
      </c>
      <c r="CM174">
        <v>0</v>
      </c>
      <c r="CN174" t="s">
        <v>3</v>
      </c>
      <c r="CO174">
        <v>0</v>
      </c>
      <c r="CP174">
        <f t="shared" si="203"/>
        <v>-4707</v>
      </c>
      <c r="CQ174">
        <f t="shared" si="204"/>
        <v>1318.4757</v>
      </c>
      <c r="CR174">
        <f t="shared" si="205"/>
        <v>0</v>
      </c>
      <c r="CS174">
        <f t="shared" si="206"/>
        <v>0</v>
      </c>
      <c r="CT174">
        <f t="shared" si="207"/>
        <v>0</v>
      </c>
      <c r="CU174">
        <f t="shared" si="208"/>
        <v>0</v>
      </c>
      <c r="CV174">
        <f t="shared" si="209"/>
        <v>0</v>
      </c>
      <c r="CW174">
        <f t="shared" si="210"/>
        <v>0</v>
      </c>
      <c r="CX174">
        <f t="shared" si="211"/>
        <v>0</v>
      </c>
      <c r="CY174">
        <f t="shared" si="212"/>
        <v>0</v>
      </c>
      <c r="CZ174">
        <f t="shared" si="213"/>
        <v>0</v>
      </c>
      <c r="DC174" t="s">
        <v>3</v>
      </c>
      <c r="DD174" t="s">
        <v>3</v>
      </c>
      <c r="DE174" t="s">
        <v>3</v>
      </c>
      <c r="DF174" t="s">
        <v>3</v>
      </c>
      <c r="DG174" t="s">
        <v>3</v>
      </c>
      <c r="DH174" t="s">
        <v>3</v>
      </c>
      <c r="DI174" t="s">
        <v>3</v>
      </c>
      <c r="DJ174" t="s">
        <v>3</v>
      </c>
      <c r="DK174" t="s">
        <v>3</v>
      </c>
      <c r="DL174" t="s">
        <v>3</v>
      </c>
      <c r="DM174" t="s">
        <v>3</v>
      </c>
      <c r="DN174">
        <v>0</v>
      </c>
      <c r="DO174">
        <v>0</v>
      </c>
      <c r="DP174">
        <v>1</v>
      </c>
      <c r="DQ174">
        <v>1</v>
      </c>
      <c r="DU174">
        <v>1005</v>
      </c>
      <c r="DV174" t="s">
        <v>189</v>
      </c>
      <c r="DW174" t="s">
        <v>189</v>
      </c>
      <c r="DX174">
        <v>1</v>
      </c>
      <c r="EE174">
        <v>45269176</v>
      </c>
      <c r="EF174">
        <v>2</v>
      </c>
      <c r="EG174" t="s">
        <v>19</v>
      </c>
      <c r="EH174">
        <v>0</v>
      </c>
      <c r="EI174" t="s">
        <v>3</v>
      </c>
      <c r="EJ174">
        <v>1</v>
      </c>
      <c r="EK174">
        <v>10001</v>
      </c>
      <c r="EL174" t="s">
        <v>242</v>
      </c>
      <c r="EM174" t="s">
        <v>243</v>
      </c>
      <c r="EO174" t="s">
        <v>3</v>
      </c>
      <c r="EQ174">
        <v>32768</v>
      </c>
      <c r="ER174">
        <v>208.29</v>
      </c>
      <c r="ES174">
        <v>208.29</v>
      </c>
      <c r="ET174">
        <v>0</v>
      </c>
      <c r="EU174">
        <v>0</v>
      </c>
      <c r="EV174">
        <v>0</v>
      </c>
      <c r="EW174">
        <v>0</v>
      </c>
      <c r="EX174">
        <v>0</v>
      </c>
      <c r="FQ174">
        <v>0</v>
      </c>
      <c r="FR174">
        <f t="shared" si="214"/>
        <v>0</v>
      </c>
      <c r="FS174">
        <v>0</v>
      </c>
      <c r="FT174" t="s">
        <v>22</v>
      </c>
      <c r="FU174" t="s">
        <v>23</v>
      </c>
      <c r="FX174">
        <v>74.34</v>
      </c>
      <c r="FY174">
        <v>48.195</v>
      </c>
      <c r="GA174" t="s">
        <v>3</v>
      </c>
      <c r="GD174">
        <v>0</v>
      </c>
      <c r="GF174">
        <v>2099777272</v>
      </c>
      <c r="GG174">
        <v>2</v>
      </c>
      <c r="GH174">
        <v>1</v>
      </c>
      <c r="GI174">
        <v>2</v>
      </c>
      <c r="GJ174">
        <v>0</v>
      </c>
      <c r="GK174">
        <f>ROUND(R174*(R12)/100,0)</f>
        <v>0</v>
      </c>
      <c r="GL174">
        <f t="shared" si="215"/>
        <v>0</v>
      </c>
      <c r="GM174">
        <f t="shared" si="216"/>
        <v>-4707</v>
      </c>
      <c r="GN174">
        <f t="shared" si="217"/>
        <v>-4707</v>
      </c>
      <c r="GO174">
        <f t="shared" si="218"/>
        <v>0</v>
      </c>
      <c r="GP174">
        <f t="shared" si="219"/>
        <v>0</v>
      </c>
      <c r="GR174">
        <v>0</v>
      </c>
      <c r="GS174">
        <v>3</v>
      </c>
      <c r="GT174">
        <v>0</v>
      </c>
      <c r="GU174" t="s">
        <v>3</v>
      </c>
      <c r="GV174">
        <f t="shared" si="220"/>
        <v>0</v>
      </c>
      <c r="GW174">
        <v>1</v>
      </c>
      <c r="GX174">
        <f t="shared" si="221"/>
        <v>0</v>
      </c>
      <c r="HA174">
        <v>0</v>
      </c>
      <c r="HB174">
        <v>0</v>
      </c>
      <c r="IK174">
        <v>0</v>
      </c>
    </row>
    <row r="175" spans="1:245">
      <c r="A175">
        <v>17</v>
      </c>
      <c r="B175">
        <v>1</v>
      </c>
      <c r="E175" t="s">
        <v>391</v>
      </c>
      <c r="F175" t="s">
        <v>249</v>
      </c>
      <c r="G175" t="s">
        <v>250</v>
      </c>
      <c r="H175" t="s">
        <v>189</v>
      </c>
      <c r="I175">
        <v>3.57</v>
      </c>
      <c r="J175">
        <v>0</v>
      </c>
      <c r="O175">
        <f t="shared" si="188"/>
        <v>16537</v>
      </c>
      <c r="P175">
        <f t="shared" si="189"/>
        <v>16537</v>
      </c>
      <c r="Q175">
        <f t="shared" si="190"/>
        <v>0</v>
      </c>
      <c r="R175">
        <f t="shared" si="191"/>
        <v>0</v>
      </c>
      <c r="S175">
        <f t="shared" si="192"/>
        <v>0</v>
      </c>
      <c r="T175">
        <f t="shared" si="193"/>
        <v>0</v>
      </c>
      <c r="U175">
        <f t="shared" si="194"/>
        <v>0</v>
      </c>
      <c r="V175">
        <f t="shared" si="195"/>
        <v>0</v>
      </c>
      <c r="W175">
        <f t="shared" si="196"/>
        <v>0</v>
      </c>
      <c r="X175">
        <f t="shared" si="197"/>
        <v>0</v>
      </c>
      <c r="Y175">
        <f t="shared" si="198"/>
        <v>0</v>
      </c>
      <c r="AA175">
        <v>48370320</v>
      </c>
      <c r="AB175">
        <f t="shared" si="199"/>
        <v>1470.52</v>
      </c>
      <c r="AC175">
        <f t="shared" si="200"/>
        <v>1470.52</v>
      </c>
      <c r="AD175">
        <f>ROUND((((ET175)-(EU175))+AE175),2)</f>
        <v>0</v>
      </c>
      <c r="AE175">
        <f t="shared" si="222"/>
        <v>0</v>
      </c>
      <c r="AF175">
        <f t="shared" si="222"/>
        <v>0</v>
      </c>
      <c r="AG175">
        <f t="shared" si="201"/>
        <v>0</v>
      </c>
      <c r="AH175">
        <f t="shared" si="223"/>
        <v>0</v>
      </c>
      <c r="AI175">
        <f t="shared" si="223"/>
        <v>0</v>
      </c>
      <c r="AJ175">
        <f t="shared" si="202"/>
        <v>0</v>
      </c>
      <c r="AK175">
        <v>1470.52</v>
      </c>
      <c r="AL175">
        <v>1470.52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1</v>
      </c>
      <c r="AW175">
        <v>1</v>
      </c>
      <c r="AZ175">
        <v>1</v>
      </c>
      <c r="BA175">
        <v>1</v>
      </c>
      <c r="BB175">
        <v>1</v>
      </c>
      <c r="BC175">
        <v>3.15</v>
      </c>
      <c r="BD175" t="s">
        <v>3</v>
      </c>
      <c r="BE175" t="s">
        <v>3</v>
      </c>
      <c r="BF175" t="s">
        <v>3</v>
      </c>
      <c r="BG175" t="s">
        <v>3</v>
      </c>
      <c r="BH175">
        <v>3</v>
      </c>
      <c r="BI175">
        <v>1</v>
      </c>
      <c r="BJ175" t="s">
        <v>251</v>
      </c>
      <c r="BM175">
        <v>500001</v>
      </c>
      <c r="BN175">
        <v>0</v>
      </c>
      <c r="BO175" t="s">
        <v>249</v>
      </c>
      <c r="BP175">
        <v>1</v>
      </c>
      <c r="BQ175">
        <v>8</v>
      </c>
      <c r="BR175">
        <v>0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3</v>
      </c>
      <c r="BZ175">
        <v>0</v>
      </c>
      <c r="CA175">
        <v>0</v>
      </c>
      <c r="CF175">
        <v>0</v>
      </c>
      <c r="CG175">
        <v>0</v>
      </c>
      <c r="CM175">
        <v>0</v>
      </c>
      <c r="CN175" t="s">
        <v>3</v>
      </c>
      <c r="CO175">
        <v>0</v>
      </c>
      <c r="CP175">
        <f t="shared" si="203"/>
        <v>16537</v>
      </c>
      <c r="CQ175">
        <f t="shared" si="204"/>
        <v>4632.1379999999999</v>
      </c>
      <c r="CR175">
        <f t="shared" si="205"/>
        <v>0</v>
      </c>
      <c r="CS175">
        <f t="shared" si="206"/>
        <v>0</v>
      </c>
      <c r="CT175">
        <f t="shared" si="207"/>
        <v>0</v>
      </c>
      <c r="CU175">
        <f t="shared" si="208"/>
        <v>0</v>
      </c>
      <c r="CV175">
        <f t="shared" si="209"/>
        <v>0</v>
      </c>
      <c r="CW175">
        <f t="shared" si="210"/>
        <v>0</v>
      </c>
      <c r="CX175">
        <f t="shared" si="211"/>
        <v>0</v>
      </c>
      <c r="CY175">
        <f t="shared" si="212"/>
        <v>0</v>
      </c>
      <c r="CZ175">
        <f t="shared" si="213"/>
        <v>0</v>
      </c>
      <c r="DC175" t="s">
        <v>3</v>
      </c>
      <c r="DD175" t="s">
        <v>3</v>
      </c>
      <c r="DE175" t="s">
        <v>3</v>
      </c>
      <c r="DF175" t="s">
        <v>3</v>
      </c>
      <c r="DG175" t="s">
        <v>3</v>
      </c>
      <c r="DH175" t="s">
        <v>3</v>
      </c>
      <c r="DI175" t="s">
        <v>3</v>
      </c>
      <c r="DJ175" t="s">
        <v>3</v>
      </c>
      <c r="DK175" t="s">
        <v>3</v>
      </c>
      <c r="DL175" t="s">
        <v>3</v>
      </c>
      <c r="DM175" t="s">
        <v>3</v>
      </c>
      <c r="DN175">
        <v>0</v>
      </c>
      <c r="DO175">
        <v>0</v>
      </c>
      <c r="DP175">
        <v>1</v>
      </c>
      <c r="DQ175">
        <v>1</v>
      </c>
      <c r="DU175">
        <v>1005</v>
      </c>
      <c r="DV175" t="s">
        <v>189</v>
      </c>
      <c r="DW175" t="s">
        <v>189</v>
      </c>
      <c r="DX175">
        <v>1</v>
      </c>
      <c r="EE175">
        <v>45269109</v>
      </c>
      <c r="EF175">
        <v>8</v>
      </c>
      <c r="EG175" t="s">
        <v>174</v>
      </c>
      <c r="EH175">
        <v>0</v>
      </c>
      <c r="EI175" t="s">
        <v>3</v>
      </c>
      <c r="EJ175">
        <v>1</v>
      </c>
      <c r="EK175">
        <v>500001</v>
      </c>
      <c r="EL175" t="s">
        <v>175</v>
      </c>
      <c r="EM175" t="s">
        <v>176</v>
      </c>
      <c r="EO175" t="s">
        <v>3</v>
      </c>
      <c r="EQ175">
        <v>0</v>
      </c>
      <c r="ER175">
        <v>1470.52</v>
      </c>
      <c r="ES175">
        <v>1470.52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FQ175">
        <v>0</v>
      </c>
      <c r="FR175">
        <f t="shared" si="214"/>
        <v>0</v>
      </c>
      <c r="FS175">
        <v>0</v>
      </c>
      <c r="FX175">
        <v>0</v>
      </c>
      <c r="FY175">
        <v>0</v>
      </c>
      <c r="GA175" t="s">
        <v>3</v>
      </c>
      <c r="GD175">
        <v>0</v>
      </c>
      <c r="GF175">
        <v>-1841928206</v>
      </c>
      <c r="GG175">
        <v>2</v>
      </c>
      <c r="GH175">
        <v>1</v>
      </c>
      <c r="GI175">
        <v>2</v>
      </c>
      <c r="GJ175">
        <v>0</v>
      </c>
      <c r="GK175">
        <f>ROUND(R175*(R12)/100,0)</f>
        <v>0</v>
      </c>
      <c r="GL175">
        <f t="shared" si="215"/>
        <v>0</v>
      </c>
      <c r="GM175">
        <f t="shared" si="216"/>
        <v>16537</v>
      </c>
      <c r="GN175">
        <f t="shared" si="217"/>
        <v>16537</v>
      </c>
      <c r="GO175">
        <f t="shared" si="218"/>
        <v>0</v>
      </c>
      <c r="GP175">
        <f t="shared" si="219"/>
        <v>0</v>
      </c>
      <c r="GR175">
        <v>0</v>
      </c>
      <c r="GS175">
        <v>3</v>
      </c>
      <c r="GT175">
        <v>0</v>
      </c>
      <c r="GU175" t="s">
        <v>3</v>
      </c>
      <c r="GV175">
        <f t="shared" si="220"/>
        <v>0</v>
      </c>
      <c r="GW175">
        <v>1</v>
      </c>
      <c r="GX175">
        <f t="shared" si="221"/>
        <v>0</v>
      </c>
      <c r="HA175">
        <v>0</v>
      </c>
      <c r="HB175">
        <v>0</v>
      </c>
      <c r="IK175">
        <v>0</v>
      </c>
    </row>
    <row r="176" spans="1:245">
      <c r="A176">
        <v>17</v>
      </c>
      <c r="B176">
        <v>1</v>
      </c>
      <c r="E176" t="s">
        <v>392</v>
      </c>
      <c r="F176" t="s">
        <v>253</v>
      </c>
      <c r="G176" t="s">
        <v>254</v>
      </c>
      <c r="H176" t="s">
        <v>255</v>
      </c>
      <c r="I176">
        <v>2</v>
      </c>
      <c r="J176">
        <v>0</v>
      </c>
      <c r="O176">
        <f t="shared" si="188"/>
        <v>677</v>
      </c>
      <c r="P176">
        <f t="shared" si="189"/>
        <v>677</v>
      </c>
      <c r="Q176">
        <f t="shared" si="190"/>
        <v>0</v>
      </c>
      <c r="R176">
        <f t="shared" si="191"/>
        <v>0</v>
      </c>
      <c r="S176">
        <f t="shared" si="192"/>
        <v>0</v>
      </c>
      <c r="T176">
        <f t="shared" si="193"/>
        <v>0</v>
      </c>
      <c r="U176">
        <f t="shared" si="194"/>
        <v>0</v>
      </c>
      <c r="V176">
        <f t="shared" si="195"/>
        <v>0</v>
      </c>
      <c r="W176">
        <f t="shared" si="196"/>
        <v>0</v>
      </c>
      <c r="X176">
        <f t="shared" si="197"/>
        <v>0</v>
      </c>
      <c r="Y176">
        <f t="shared" si="198"/>
        <v>0</v>
      </c>
      <c r="AA176">
        <v>48370320</v>
      </c>
      <c r="AB176">
        <f t="shared" si="199"/>
        <v>75.7</v>
      </c>
      <c r="AC176">
        <f t="shared" si="200"/>
        <v>75.7</v>
      </c>
      <c r="AD176">
        <f>ROUND((((ET176)-(EU176))+AE176),2)</f>
        <v>0</v>
      </c>
      <c r="AE176">
        <f t="shared" si="222"/>
        <v>0</v>
      </c>
      <c r="AF176">
        <f t="shared" si="222"/>
        <v>0</v>
      </c>
      <c r="AG176">
        <f t="shared" si="201"/>
        <v>0</v>
      </c>
      <c r="AH176">
        <f t="shared" si="223"/>
        <v>0</v>
      </c>
      <c r="AI176">
        <f t="shared" si="223"/>
        <v>0</v>
      </c>
      <c r="AJ176">
        <f t="shared" si="202"/>
        <v>0</v>
      </c>
      <c r="AK176">
        <v>75.7</v>
      </c>
      <c r="AL176">
        <v>75.7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1</v>
      </c>
      <c r="AW176">
        <v>1</v>
      </c>
      <c r="AZ176">
        <v>1</v>
      </c>
      <c r="BA176">
        <v>1</v>
      </c>
      <c r="BB176">
        <v>1</v>
      </c>
      <c r="BC176">
        <v>4.47</v>
      </c>
      <c r="BD176" t="s">
        <v>3</v>
      </c>
      <c r="BE176" t="s">
        <v>3</v>
      </c>
      <c r="BF176" t="s">
        <v>3</v>
      </c>
      <c r="BG176" t="s">
        <v>3</v>
      </c>
      <c r="BH176">
        <v>3</v>
      </c>
      <c r="BI176">
        <v>1</v>
      </c>
      <c r="BJ176" t="s">
        <v>256</v>
      </c>
      <c r="BM176">
        <v>500001</v>
      </c>
      <c r="BN176">
        <v>0</v>
      </c>
      <c r="BO176" t="s">
        <v>253</v>
      </c>
      <c r="BP176">
        <v>1</v>
      </c>
      <c r="BQ176">
        <v>8</v>
      </c>
      <c r="BR176">
        <v>0</v>
      </c>
      <c r="BS176">
        <v>1</v>
      </c>
      <c r="BT176">
        <v>1</v>
      </c>
      <c r="BU176">
        <v>1</v>
      </c>
      <c r="BV176">
        <v>1</v>
      </c>
      <c r="BW176">
        <v>1</v>
      </c>
      <c r="BX176">
        <v>1</v>
      </c>
      <c r="BY176" t="s">
        <v>3</v>
      </c>
      <c r="BZ176">
        <v>0</v>
      </c>
      <c r="CA176">
        <v>0</v>
      </c>
      <c r="CF176">
        <v>0</v>
      </c>
      <c r="CG176">
        <v>0</v>
      </c>
      <c r="CM176">
        <v>0</v>
      </c>
      <c r="CN176" t="s">
        <v>3</v>
      </c>
      <c r="CO176">
        <v>0</v>
      </c>
      <c r="CP176">
        <f t="shared" si="203"/>
        <v>677</v>
      </c>
      <c r="CQ176">
        <f t="shared" si="204"/>
        <v>338.37900000000002</v>
      </c>
      <c r="CR176">
        <f t="shared" si="205"/>
        <v>0</v>
      </c>
      <c r="CS176">
        <f t="shared" si="206"/>
        <v>0</v>
      </c>
      <c r="CT176">
        <f t="shared" si="207"/>
        <v>0</v>
      </c>
      <c r="CU176">
        <f t="shared" si="208"/>
        <v>0</v>
      </c>
      <c r="CV176">
        <f t="shared" si="209"/>
        <v>0</v>
      </c>
      <c r="CW176">
        <f t="shared" si="210"/>
        <v>0</v>
      </c>
      <c r="CX176">
        <f t="shared" si="211"/>
        <v>0</v>
      </c>
      <c r="CY176">
        <f t="shared" si="212"/>
        <v>0</v>
      </c>
      <c r="CZ176">
        <f t="shared" si="213"/>
        <v>0</v>
      </c>
      <c r="DC176" t="s">
        <v>3</v>
      </c>
      <c r="DD176" t="s">
        <v>3</v>
      </c>
      <c r="DE176" t="s">
        <v>3</v>
      </c>
      <c r="DF176" t="s">
        <v>3</v>
      </c>
      <c r="DG176" t="s">
        <v>3</v>
      </c>
      <c r="DH176" t="s">
        <v>3</v>
      </c>
      <c r="DI176" t="s">
        <v>3</v>
      </c>
      <c r="DJ176" t="s">
        <v>3</v>
      </c>
      <c r="DK176" t="s">
        <v>3</v>
      </c>
      <c r="DL176" t="s">
        <v>3</v>
      </c>
      <c r="DM176" t="s">
        <v>3</v>
      </c>
      <c r="DN176">
        <v>0</v>
      </c>
      <c r="DO176">
        <v>0</v>
      </c>
      <c r="DP176">
        <v>1</v>
      </c>
      <c r="DQ176">
        <v>1</v>
      </c>
      <c r="DU176">
        <v>1013</v>
      </c>
      <c r="DV176" t="s">
        <v>255</v>
      </c>
      <c r="DW176" t="s">
        <v>255</v>
      </c>
      <c r="DX176">
        <v>1</v>
      </c>
      <c r="EE176">
        <v>45269109</v>
      </c>
      <c r="EF176">
        <v>8</v>
      </c>
      <c r="EG176" t="s">
        <v>174</v>
      </c>
      <c r="EH176">
        <v>0</v>
      </c>
      <c r="EI176" t="s">
        <v>3</v>
      </c>
      <c r="EJ176">
        <v>1</v>
      </c>
      <c r="EK176">
        <v>500001</v>
      </c>
      <c r="EL176" t="s">
        <v>175</v>
      </c>
      <c r="EM176" t="s">
        <v>176</v>
      </c>
      <c r="EO176" t="s">
        <v>3</v>
      </c>
      <c r="EQ176">
        <v>0</v>
      </c>
      <c r="ER176">
        <v>75.7</v>
      </c>
      <c r="ES176">
        <v>75.7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FQ176">
        <v>0</v>
      </c>
      <c r="FR176">
        <f t="shared" si="214"/>
        <v>0</v>
      </c>
      <c r="FS176">
        <v>0</v>
      </c>
      <c r="FX176">
        <v>0</v>
      </c>
      <c r="FY176">
        <v>0</v>
      </c>
      <c r="GA176" t="s">
        <v>3</v>
      </c>
      <c r="GD176">
        <v>0</v>
      </c>
      <c r="GF176">
        <v>404293889</v>
      </c>
      <c r="GG176">
        <v>2</v>
      </c>
      <c r="GH176">
        <v>1</v>
      </c>
      <c r="GI176">
        <v>2</v>
      </c>
      <c r="GJ176">
        <v>0</v>
      </c>
      <c r="GK176">
        <f>ROUND(R176*(R12)/100,0)</f>
        <v>0</v>
      </c>
      <c r="GL176">
        <f t="shared" si="215"/>
        <v>0</v>
      </c>
      <c r="GM176">
        <f t="shared" si="216"/>
        <v>677</v>
      </c>
      <c r="GN176">
        <f t="shared" si="217"/>
        <v>677</v>
      </c>
      <c r="GO176">
        <f t="shared" si="218"/>
        <v>0</v>
      </c>
      <c r="GP176">
        <f t="shared" si="219"/>
        <v>0</v>
      </c>
      <c r="GR176">
        <v>0</v>
      </c>
      <c r="GS176">
        <v>3</v>
      </c>
      <c r="GT176">
        <v>0</v>
      </c>
      <c r="GU176" t="s">
        <v>3</v>
      </c>
      <c r="GV176">
        <f t="shared" si="220"/>
        <v>0</v>
      </c>
      <c r="GW176">
        <v>1</v>
      </c>
      <c r="GX176">
        <f t="shared" si="221"/>
        <v>0</v>
      </c>
      <c r="HA176">
        <v>0</v>
      </c>
      <c r="HB176">
        <v>0</v>
      </c>
      <c r="IK176">
        <v>0</v>
      </c>
    </row>
    <row r="177" spans="1:245">
      <c r="A177">
        <v>17</v>
      </c>
      <c r="B177">
        <v>1</v>
      </c>
      <c r="C177">
        <f>ROW(SmtRes!A421)</f>
        <v>421</v>
      </c>
      <c r="D177">
        <f>ROW(EtalonRes!A423)</f>
        <v>423</v>
      </c>
      <c r="E177" t="s">
        <v>393</v>
      </c>
      <c r="F177" t="s">
        <v>258</v>
      </c>
      <c r="G177" t="s">
        <v>259</v>
      </c>
      <c r="H177" t="s">
        <v>260</v>
      </c>
      <c r="I177">
        <f>ROUND(14.6/100,9)</f>
        <v>0.14599999999999999</v>
      </c>
      <c r="J177">
        <v>0</v>
      </c>
      <c r="O177">
        <f t="shared" si="188"/>
        <v>1027</v>
      </c>
      <c r="P177">
        <f t="shared" si="189"/>
        <v>812</v>
      </c>
      <c r="Q177">
        <f t="shared" si="190"/>
        <v>6</v>
      </c>
      <c r="R177">
        <f t="shared" si="191"/>
        <v>0</v>
      </c>
      <c r="S177">
        <f t="shared" si="192"/>
        <v>209</v>
      </c>
      <c r="T177">
        <f t="shared" si="193"/>
        <v>0</v>
      </c>
      <c r="U177">
        <f t="shared" si="194"/>
        <v>1.312978</v>
      </c>
      <c r="V177">
        <f t="shared" si="195"/>
        <v>0</v>
      </c>
      <c r="W177">
        <f t="shared" si="196"/>
        <v>0</v>
      </c>
      <c r="X177">
        <f t="shared" si="197"/>
        <v>155</v>
      </c>
      <c r="Y177">
        <f t="shared" si="198"/>
        <v>100</v>
      </c>
      <c r="AA177">
        <v>48370320</v>
      </c>
      <c r="AB177">
        <f t="shared" si="199"/>
        <v>525.91</v>
      </c>
      <c r="AC177">
        <f t="shared" si="200"/>
        <v>452.7</v>
      </c>
      <c r="AD177">
        <f>ROUND(((((ET177*1.25))-((EU177*1.25)))+AE177),2)</f>
        <v>4.59</v>
      </c>
      <c r="AE177">
        <f>ROUND(((EU177*1.25)),2)</f>
        <v>0</v>
      </c>
      <c r="AF177">
        <f>ROUND(((EV177*1.15)),2)</f>
        <v>68.62</v>
      </c>
      <c r="AG177">
        <f t="shared" si="201"/>
        <v>0</v>
      </c>
      <c r="AH177">
        <f>((EW177*1.15))</f>
        <v>8.9930000000000003</v>
      </c>
      <c r="AI177">
        <f>((EX177*1.25))</f>
        <v>0</v>
      </c>
      <c r="AJ177">
        <f t="shared" si="202"/>
        <v>0</v>
      </c>
      <c r="AK177">
        <v>516.04</v>
      </c>
      <c r="AL177">
        <v>452.7</v>
      </c>
      <c r="AM177">
        <v>3.67</v>
      </c>
      <c r="AN177">
        <v>0</v>
      </c>
      <c r="AO177">
        <v>59.67</v>
      </c>
      <c r="AP177">
        <v>0</v>
      </c>
      <c r="AQ177">
        <v>7.82</v>
      </c>
      <c r="AR177">
        <v>0</v>
      </c>
      <c r="AS177">
        <v>0</v>
      </c>
      <c r="AT177">
        <v>74</v>
      </c>
      <c r="AU177">
        <v>48</v>
      </c>
      <c r="AV177">
        <v>1</v>
      </c>
      <c r="AW177">
        <v>1</v>
      </c>
      <c r="AZ177">
        <v>1</v>
      </c>
      <c r="BA177">
        <v>20.88</v>
      </c>
      <c r="BB177">
        <v>9.1999999999999993</v>
      </c>
      <c r="BC177">
        <v>12.28</v>
      </c>
      <c r="BD177" t="s">
        <v>3</v>
      </c>
      <c r="BE177" t="s">
        <v>3</v>
      </c>
      <c r="BF177" t="s">
        <v>3</v>
      </c>
      <c r="BG177" t="s">
        <v>3</v>
      </c>
      <c r="BH177">
        <v>0</v>
      </c>
      <c r="BI177">
        <v>1</v>
      </c>
      <c r="BJ177" t="s">
        <v>261</v>
      </c>
      <c r="BM177">
        <v>10001</v>
      </c>
      <c r="BN177">
        <v>0</v>
      </c>
      <c r="BO177" t="s">
        <v>258</v>
      </c>
      <c r="BP177">
        <v>1</v>
      </c>
      <c r="BQ177">
        <v>2</v>
      </c>
      <c r="BR177">
        <v>0</v>
      </c>
      <c r="BS177">
        <v>20.88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3</v>
      </c>
      <c r="BZ177">
        <v>118</v>
      </c>
      <c r="CA177">
        <v>63</v>
      </c>
      <c r="CF177">
        <v>0</v>
      </c>
      <c r="CG177">
        <v>0</v>
      </c>
      <c r="CM177">
        <v>0</v>
      </c>
      <c r="CN177" t="s">
        <v>937</v>
      </c>
      <c r="CO177">
        <v>0</v>
      </c>
      <c r="CP177">
        <f t="shared" si="203"/>
        <v>1027</v>
      </c>
      <c r="CQ177">
        <f t="shared" si="204"/>
        <v>5559.1559999999999</v>
      </c>
      <c r="CR177">
        <f t="shared" si="205"/>
        <v>42.227999999999994</v>
      </c>
      <c r="CS177">
        <f t="shared" si="206"/>
        <v>0</v>
      </c>
      <c r="CT177">
        <f t="shared" si="207"/>
        <v>1432.7855999999999</v>
      </c>
      <c r="CU177">
        <f t="shared" si="208"/>
        <v>0</v>
      </c>
      <c r="CV177">
        <f t="shared" si="209"/>
        <v>8.9930000000000003</v>
      </c>
      <c r="CW177">
        <f t="shared" si="210"/>
        <v>0</v>
      </c>
      <c r="CX177">
        <f t="shared" si="211"/>
        <v>0</v>
      </c>
      <c r="CY177">
        <f t="shared" si="212"/>
        <v>154.66</v>
      </c>
      <c r="CZ177">
        <f t="shared" si="213"/>
        <v>100.32</v>
      </c>
      <c r="DC177" t="s">
        <v>3</v>
      </c>
      <c r="DD177" t="s">
        <v>3</v>
      </c>
      <c r="DE177" t="s">
        <v>160</v>
      </c>
      <c r="DF177" t="s">
        <v>160</v>
      </c>
      <c r="DG177" t="s">
        <v>161</v>
      </c>
      <c r="DH177" t="s">
        <v>3</v>
      </c>
      <c r="DI177" t="s">
        <v>161</v>
      </c>
      <c r="DJ177" t="s">
        <v>160</v>
      </c>
      <c r="DK177" t="s">
        <v>3</v>
      </c>
      <c r="DL177" t="s">
        <v>3</v>
      </c>
      <c r="DM177" t="s">
        <v>3</v>
      </c>
      <c r="DN177">
        <v>0</v>
      </c>
      <c r="DO177">
        <v>0</v>
      </c>
      <c r="DP177">
        <v>1</v>
      </c>
      <c r="DQ177">
        <v>1</v>
      </c>
      <c r="DU177">
        <v>1013</v>
      </c>
      <c r="DV177" t="s">
        <v>260</v>
      </c>
      <c r="DW177" t="s">
        <v>260</v>
      </c>
      <c r="DX177">
        <v>1</v>
      </c>
      <c r="EE177">
        <v>45269176</v>
      </c>
      <c r="EF177">
        <v>2</v>
      </c>
      <c r="EG177" t="s">
        <v>19</v>
      </c>
      <c r="EH177">
        <v>0</v>
      </c>
      <c r="EI177" t="s">
        <v>3</v>
      </c>
      <c r="EJ177">
        <v>1</v>
      </c>
      <c r="EK177">
        <v>10001</v>
      </c>
      <c r="EL177" t="s">
        <v>242</v>
      </c>
      <c r="EM177" t="s">
        <v>243</v>
      </c>
      <c r="EO177" t="s">
        <v>162</v>
      </c>
      <c r="EQ177">
        <v>0</v>
      </c>
      <c r="ER177">
        <v>516.04</v>
      </c>
      <c r="ES177">
        <v>452.7</v>
      </c>
      <c r="ET177">
        <v>3.67</v>
      </c>
      <c r="EU177">
        <v>0</v>
      </c>
      <c r="EV177">
        <v>59.67</v>
      </c>
      <c r="EW177">
        <v>7.82</v>
      </c>
      <c r="EX177">
        <v>0</v>
      </c>
      <c r="EY177">
        <v>0</v>
      </c>
      <c r="FQ177">
        <v>0</v>
      </c>
      <c r="FR177">
        <f t="shared" si="214"/>
        <v>0</v>
      </c>
      <c r="FS177">
        <v>0</v>
      </c>
      <c r="FT177" t="s">
        <v>22</v>
      </c>
      <c r="FU177" t="s">
        <v>23</v>
      </c>
      <c r="FX177">
        <v>74.34</v>
      </c>
      <c r="FY177">
        <v>48.195</v>
      </c>
      <c r="GA177" t="s">
        <v>3</v>
      </c>
      <c r="GD177">
        <v>0</v>
      </c>
      <c r="GF177">
        <v>-699348485</v>
      </c>
      <c r="GG177">
        <v>2</v>
      </c>
      <c r="GH177">
        <v>1</v>
      </c>
      <c r="GI177">
        <v>2</v>
      </c>
      <c r="GJ177">
        <v>0</v>
      </c>
      <c r="GK177">
        <f>ROUND(R177*(R12)/100,0)</f>
        <v>0</v>
      </c>
      <c r="GL177">
        <f t="shared" si="215"/>
        <v>0</v>
      </c>
      <c r="GM177">
        <f t="shared" si="216"/>
        <v>1282</v>
      </c>
      <c r="GN177">
        <f t="shared" si="217"/>
        <v>1282</v>
      </c>
      <c r="GO177">
        <f t="shared" si="218"/>
        <v>0</v>
      </c>
      <c r="GP177">
        <f t="shared" si="219"/>
        <v>0</v>
      </c>
      <c r="GR177">
        <v>0</v>
      </c>
      <c r="GS177">
        <v>3</v>
      </c>
      <c r="GT177">
        <v>0</v>
      </c>
      <c r="GU177" t="s">
        <v>3</v>
      </c>
      <c r="GV177">
        <f t="shared" si="220"/>
        <v>0</v>
      </c>
      <c r="GW177">
        <v>1</v>
      </c>
      <c r="GX177">
        <f t="shared" si="221"/>
        <v>0</v>
      </c>
      <c r="HA177">
        <v>0</v>
      </c>
      <c r="HB177">
        <v>0</v>
      </c>
      <c r="IK177">
        <v>0</v>
      </c>
    </row>
    <row r="178" spans="1:245">
      <c r="A178">
        <v>17</v>
      </c>
      <c r="B178">
        <v>1</v>
      </c>
      <c r="C178">
        <f>ROW(SmtRes!A430)</f>
        <v>430</v>
      </c>
      <c r="D178">
        <f>ROW(EtalonRes!A432)</f>
        <v>432</v>
      </c>
      <c r="E178" t="s">
        <v>394</v>
      </c>
      <c r="F178" t="s">
        <v>395</v>
      </c>
      <c r="G178" t="s">
        <v>396</v>
      </c>
      <c r="H178" t="s">
        <v>397</v>
      </c>
      <c r="I178">
        <f>ROUND(0.5/100,9)</f>
        <v>5.0000000000000001E-3</v>
      </c>
      <c r="J178">
        <v>0</v>
      </c>
      <c r="O178">
        <f t="shared" si="188"/>
        <v>286</v>
      </c>
      <c r="P178">
        <f t="shared" si="189"/>
        <v>112</v>
      </c>
      <c r="Q178">
        <f t="shared" si="190"/>
        <v>3</v>
      </c>
      <c r="R178">
        <f t="shared" si="191"/>
        <v>0</v>
      </c>
      <c r="S178">
        <f t="shared" si="192"/>
        <v>171</v>
      </c>
      <c r="T178">
        <f t="shared" si="193"/>
        <v>0</v>
      </c>
      <c r="U178">
        <f t="shared" si="194"/>
        <v>0.95720249999999996</v>
      </c>
      <c r="V178">
        <f t="shared" si="195"/>
        <v>5.0000000000000001E-4</v>
      </c>
      <c r="W178">
        <f t="shared" si="196"/>
        <v>0</v>
      </c>
      <c r="X178">
        <f t="shared" si="197"/>
        <v>113</v>
      </c>
      <c r="Y178">
        <f t="shared" si="198"/>
        <v>72</v>
      </c>
      <c r="AA178">
        <v>48370320</v>
      </c>
      <c r="AB178">
        <f t="shared" si="199"/>
        <v>14112.79</v>
      </c>
      <c r="AC178">
        <f t="shared" si="200"/>
        <v>12409.36</v>
      </c>
      <c r="AD178">
        <f>ROUND(((((ET178*1.25))-((EU178*1.25)))+AE178),2)</f>
        <v>60.87</v>
      </c>
      <c r="AE178">
        <f>ROUND(((EU178*1.25)),2)</f>
        <v>1.21</v>
      </c>
      <c r="AF178">
        <f>ROUND(((EV178*1.15)),2)</f>
        <v>1642.56</v>
      </c>
      <c r="AG178">
        <f t="shared" si="201"/>
        <v>0</v>
      </c>
      <c r="AH178">
        <f>((EW178*1.15))</f>
        <v>191.44049999999999</v>
      </c>
      <c r="AI178">
        <f>((EX178*1.25))</f>
        <v>0.1</v>
      </c>
      <c r="AJ178">
        <f t="shared" si="202"/>
        <v>0</v>
      </c>
      <c r="AK178">
        <v>13886.37</v>
      </c>
      <c r="AL178">
        <v>12409.36</v>
      </c>
      <c r="AM178">
        <v>48.7</v>
      </c>
      <c r="AN178">
        <v>0.97</v>
      </c>
      <c r="AO178">
        <v>1428.31</v>
      </c>
      <c r="AP178">
        <v>0</v>
      </c>
      <c r="AQ178">
        <v>166.47</v>
      </c>
      <c r="AR178">
        <v>0.08</v>
      </c>
      <c r="AS178">
        <v>0</v>
      </c>
      <c r="AT178">
        <v>66</v>
      </c>
      <c r="AU178">
        <v>42</v>
      </c>
      <c r="AV178">
        <v>1</v>
      </c>
      <c r="AW178">
        <v>1</v>
      </c>
      <c r="AZ178">
        <v>1</v>
      </c>
      <c r="BA178">
        <v>20.88</v>
      </c>
      <c r="BB178">
        <v>9.23</v>
      </c>
      <c r="BC178">
        <v>1.8</v>
      </c>
      <c r="BD178" t="s">
        <v>3</v>
      </c>
      <c r="BE178" t="s">
        <v>3</v>
      </c>
      <c r="BF178" t="s">
        <v>3</v>
      </c>
      <c r="BG178" t="s">
        <v>3</v>
      </c>
      <c r="BH178">
        <v>0</v>
      </c>
      <c r="BI178">
        <v>1</v>
      </c>
      <c r="BJ178" t="s">
        <v>398</v>
      </c>
      <c r="BM178">
        <v>15001</v>
      </c>
      <c r="BN178">
        <v>0</v>
      </c>
      <c r="BO178" t="s">
        <v>395</v>
      </c>
      <c r="BP178">
        <v>1</v>
      </c>
      <c r="BQ178">
        <v>2</v>
      </c>
      <c r="BR178">
        <v>0</v>
      </c>
      <c r="BS178">
        <v>20.88</v>
      </c>
      <c r="BT178">
        <v>1</v>
      </c>
      <c r="BU178">
        <v>1</v>
      </c>
      <c r="BV178">
        <v>1</v>
      </c>
      <c r="BW178">
        <v>1</v>
      </c>
      <c r="BX178">
        <v>1</v>
      </c>
      <c r="BY178" t="s">
        <v>3</v>
      </c>
      <c r="BZ178">
        <v>105</v>
      </c>
      <c r="CA178">
        <v>55</v>
      </c>
      <c r="CF178">
        <v>0</v>
      </c>
      <c r="CG178">
        <v>0</v>
      </c>
      <c r="CM178">
        <v>0</v>
      </c>
      <c r="CN178" t="s">
        <v>937</v>
      </c>
      <c r="CO178">
        <v>0</v>
      </c>
      <c r="CP178">
        <f t="shared" si="203"/>
        <v>286</v>
      </c>
      <c r="CQ178">
        <f t="shared" si="204"/>
        <v>22336.848000000002</v>
      </c>
      <c r="CR178">
        <f t="shared" si="205"/>
        <v>561.83010000000002</v>
      </c>
      <c r="CS178">
        <f t="shared" si="206"/>
        <v>25.264799999999997</v>
      </c>
      <c r="CT178">
        <f t="shared" si="207"/>
        <v>34296.652799999996</v>
      </c>
      <c r="CU178">
        <f t="shared" si="208"/>
        <v>0</v>
      </c>
      <c r="CV178">
        <f t="shared" si="209"/>
        <v>191.44049999999999</v>
      </c>
      <c r="CW178">
        <f t="shared" si="210"/>
        <v>0.1</v>
      </c>
      <c r="CX178">
        <f t="shared" si="211"/>
        <v>0</v>
      </c>
      <c r="CY178">
        <f t="shared" si="212"/>
        <v>112.86</v>
      </c>
      <c r="CZ178">
        <f t="shared" si="213"/>
        <v>71.819999999999993</v>
      </c>
      <c r="DC178" t="s">
        <v>3</v>
      </c>
      <c r="DD178" t="s">
        <v>3</v>
      </c>
      <c r="DE178" t="s">
        <v>160</v>
      </c>
      <c r="DF178" t="s">
        <v>160</v>
      </c>
      <c r="DG178" t="s">
        <v>161</v>
      </c>
      <c r="DH178" t="s">
        <v>3</v>
      </c>
      <c r="DI178" t="s">
        <v>161</v>
      </c>
      <c r="DJ178" t="s">
        <v>160</v>
      </c>
      <c r="DK178" t="s">
        <v>3</v>
      </c>
      <c r="DL178" t="s">
        <v>3</v>
      </c>
      <c r="DM178" t="s">
        <v>3</v>
      </c>
      <c r="DN178">
        <v>0</v>
      </c>
      <c r="DO178">
        <v>0</v>
      </c>
      <c r="DP178">
        <v>1</v>
      </c>
      <c r="DQ178">
        <v>1</v>
      </c>
      <c r="DU178">
        <v>1013</v>
      </c>
      <c r="DV178" t="s">
        <v>397</v>
      </c>
      <c r="DW178" t="s">
        <v>397</v>
      </c>
      <c r="DX178">
        <v>1</v>
      </c>
      <c r="EE178">
        <v>45269202</v>
      </c>
      <c r="EF178">
        <v>2</v>
      </c>
      <c r="EG178" t="s">
        <v>19</v>
      </c>
      <c r="EH178">
        <v>0</v>
      </c>
      <c r="EI178" t="s">
        <v>3</v>
      </c>
      <c r="EJ178">
        <v>1</v>
      </c>
      <c r="EK178">
        <v>15001</v>
      </c>
      <c r="EL178" t="s">
        <v>157</v>
      </c>
      <c r="EM178" t="s">
        <v>168</v>
      </c>
      <c r="EO178" t="s">
        <v>162</v>
      </c>
      <c r="EQ178">
        <v>0</v>
      </c>
      <c r="ER178">
        <v>13886.37</v>
      </c>
      <c r="ES178">
        <v>12409.36</v>
      </c>
      <c r="ET178">
        <v>48.7</v>
      </c>
      <c r="EU178">
        <v>0.97</v>
      </c>
      <c r="EV178">
        <v>1428.31</v>
      </c>
      <c r="EW178">
        <v>166.47</v>
      </c>
      <c r="EX178">
        <v>0.08</v>
      </c>
      <c r="EY178">
        <v>0</v>
      </c>
      <c r="FQ178">
        <v>0</v>
      </c>
      <c r="FR178">
        <f t="shared" si="214"/>
        <v>0</v>
      </c>
      <c r="FS178">
        <v>0</v>
      </c>
      <c r="FT178" t="s">
        <v>22</v>
      </c>
      <c r="FU178" t="s">
        <v>23</v>
      </c>
      <c r="FX178">
        <v>66.150000000000006</v>
      </c>
      <c r="FY178">
        <v>42.075000000000003</v>
      </c>
      <c r="GA178" t="s">
        <v>3</v>
      </c>
      <c r="GD178">
        <v>0</v>
      </c>
      <c r="GF178">
        <v>690233222</v>
      </c>
      <c r="GG178">
        <v>2</v>
      </c>
      <c r="GH178">
        <v>1</v>
      </c>
      <c r="GI178">
        <v>2</v>
      </c>
      <c r="GJ178">
        <v>0</v>
      </c>
      <c r="GK178">
        <f>ROUND(R178*(R12)/100,0)</f>
        <v>0</v>
      </c>
      <c r="GL178">
        <f t="shared" si="215"/>
        <v>0</v>
      </c>
      <c r="GM178">
        <f t="shared" si="216"/>
        <v>471</v>
      </c>
      <c r="GN178">
        <f t="shared" si="217"/>
        <v>471</v>
      </c>
      <c r="GO178">
        <f t="shared" si="218"/>
        <v>0</v>
      </c>
      <c r="GP178">
        <f t="shared" si="219"/>
        <v>0</v>
      </c>
      <c r="GR178">
        <v>0</v>
      </c>
      <c r="GS178">
        <v>3</v>
      </c>
      <c r="GT178">
        <v>0</v>
      </c>
      <c r="GU178" t="s">
        <v>3</v>
      </c>
      <c r="GV178">
        <f t="shared" si="220"/>
        <v>0</v>
      </c>
      <c r="GW178">
        <v>1</v>
      </c>
      <c r="GX178">
        <f t="shared" si="221"/>
        <v>0</v>
      </c>
      <c r="HA178">
        <v>0</v>
      </c>
      <c r="HB178">
        <v>0</v>
      </c>
      <c r="IK178">
        <v>0</v>
      </c>
    </row>
    <row r="179" spans="1:245">
      <c r="A179">
        <v>18</v>
      </c>
      <c r="B179">
        <v>1</v>
      </c>
      <c r="C179">
        <v>428</v>
      </c>
      <c r="E179" t="s">
        <v>399</v>
      </c>
      <c r="F179" t="s">
        <v>400</v>
      </c>
      <c r="G179" t="s">
        <v>401</v>
      </c>
      <c r="H179" t="s">
        <v>402</v>
      </c>
      <c r="I179">
        <f>I178*J179</f>
        <v>-5.2499999999999997E-4</v>
      </c>
      <c r="J179">
        <v>-0.105</v>
      </c>
      <c r="O179">
        <f t="shared" si="188"/>
        <v>-102</v>
      </c>
      <c r="P179">
        <f t="shared" si="189"/>
        <v>-102</v>
      </c>
      <c r="Q179">
        <f t="shared" si="190"/>
        <v>0</v>
      </c>
      <c r="R179">
        <f t="shared" si="191"/>
        <v>0</v>
      </c>
      <c r="S179">
        <f t="shared" si="192"/>
        <v>0</v>
      </c>
      <c r="T179">
        <f t="shared" si="193"/>
        <v>0</v>
      </c>
      <c r="U179">
        <f t="shared" si="194"/>
        <v>0</v>
      </c>
      <c r="V179">
        <f t="shared" si="195"/>
        <v>0</v>
      </c>
      <c r="W179">
        <f t="shared" si="196"/>
        <v>0</v>
      </c>
      <c r="X179">
        <f t="shared" si="197"/>
        <v>0</v>
      </c>
      <c r="Y179">
        <f t="shared" si="198"/>
        <v>0</v>
      </c>
      <c r="AA179">
        <v>48370320</v>
      </c>
      <c r="AB179">
        <f t="shared" si="199"/>
        <v>113054</v>
      </c>
      <c r="AC179">
        <f t="shared" si="200"/>
        <v>113054</v>
      </c>
      <c r="AD179">
        <f>ROUND((((ET179)-(EU179))+AE179),2)</f>
        <v>0</v>
      </c>
      <c r="AE179">
        <f>ROUND((EU179),2)</f>
        <v>0</v>
      </c>
      <c r="AF179">
        <f>ROUND((EV179),2)</f>
        <v>0</v>
      </c>
      <c r="AG179">
        <f t="shared" si="201"/>
        <v>0</v>
      </c>
      <c r="AH179">
        <f>(EW179)</f>
        <v>0</v>
      </c>
      <c r="AI179">
        <f>(EX179)</f>
        <v>0</v>
      </c>
      <c r="AJ179">
        <f t="shared" si="202"/>
        <v>0</v>
      </c>
      <c r="AK179">
        <v>113054</v>
      </c>
      <c r="AL179">
        <v>113054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66</v>
      </c>
      <c r="AU179">
        <v>42</v>
      </c>
      <c r="AV179">
        <v>1</v>
      </c>
      <c r="AW179">
        <v>1</v>
      </c>
      <c r="AZ179">
        <v>1</v>
      </c>
      <c r="BA179">
        <v>1</v>
      </c>
      <c r="BB179">
        <v>1</v>
      </c>
      <c r="BC179">
        <v>1.72</v>
      </c>
      <c r="BD179" t="s">
        <v>3</v>
      </c>
      <c r="BE179" t="s">
        <v>3</v>
      </c>
      <c r="BF179" t="s">
        <v>3</v>
      </c>
      <c r="BG179" t="s">
        <v>3</v>
      </c>
      <c r="BH179">
        <v>3</v>
      </c>
      <c r="BI179">
        <v>1</v>
      </c>
      <c r="BJ179" t="s">
        <v>403</v>
      </c>
      <c r="BM179">
        <v>15001</v>
      </c>
      <c r="BN179">
        <v>0</v>
      </c>
      <c r="BO179" t="s">
        <v>400</v>
      </c>
      <c r="BP179">
        <v>1</v>
      </c>
      <c r="BQ179">
        <v>2</v>
      </c>
      <c r="BR179">
        <v>1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 t="s">
        <v>3</v>
      </c>
      <c r="BZ179">
        <v>105</v>
      </c>
      <c r="CA179">
        <v>55</v>
      </c>
      <c r="CF179">
        <v>0</v>
      </c>
      <c r="CG179">
        <v>0</v>
      </c>
      <c r="CM179">
        <v>0</v>
      </c>
      <c r="CN179" t="s">
        <v>3</v>
      </c>
      <c r="CO179">
        <v>0</v>
      </c>
      <c r="CP179">
        <f t="shared" si="203"/>
        <v>-102</v>
      </c>
      <c r="CQ179">
        <f t="shared" si="204"/>
        <v>194452.88</v>
      </c>
      <c r="CR179">
        <f t="shared" si="205"/>
        <v>0</v>
      </c>
      <c r="CS179">
        <f t="shared" si="206"/>
        <v>0</v>
      </c>
      <c r="CT179">
        <f t="shared" si="207"/>
        <v>0</v>
      </c>
      <c r="CU179">
        <f t="shared" si="208"/>
        <v>0</v>
      </c>
      <c r="CV179">
        <f t="shared" si="209"/>
        <v>0</v>
      </c>
      <c r="CW179">
        <f t="shared" si="210"/>
        <v>0</v>
      </c>
      <c r="CX179">
        <f t="shared" si="211"/>
        <v>0</v>
      </c>
      <c r="CY179">
        <f t="shared" si="212"/>
        <v>0</v>
      </c>
      <c r="CZ179">
        <f t="shared" si="213"/>
        <v>0</v>
      </c>
      <c r="DC179" t="s">
        <v>3</v>
      </c>
      <c r="DD179" t="s">
        <v>3</v>
      </c>
      <c r="DE179" t="s">
        <v>3</v>
      </c>
      <c r="DF179" t="s">
        <v>3</v>
      </c>
      <c r="DG179" t="s">
        <v>3</v>
      </c>
      <c r="DH179" t="s">
        <v>3</v>
      </c>
      <c r="DI179" t="s">
        <v>3</v>
      </c>
      <c r="DJ179" t="s">
        <v>3</v>
      </c>
      <c r="DK179" t="s">
        <v>3</v>
      </c>
      <c r="DL179" t="s">
        <v>3</v>
      </c>
      <c r="DM179" t="s">
        <v>3</v>
      </c>
      <c r="DN179">
        <v>0</v>
      </c>
      <c r="DO179">
        <v>0</v>
      </c>
      <c r="DP179">
        <v>1</v>
      </c>
      <c r="DQ179">
        <v>1</v>
      </c>
      <c r="DU179">
        <v>1005</v>
      </c>
      <c r="DV179" t="s">
        <v>402</v>
      </c>
      <c r="DW179" t="s">
        <v>402</v>
      </c>
      <c r="DX179">
        <v>1000</v>
      </c>
      <c r="EE179">
        <v>45269202</v>
      </c>
      <c r="EF179">
        <v>2</v>
      </c>
      <c r="EG179" t="s">
        <v>19</v>
      </c>
      <c r="EH179">
        <v>0</v>
      </c>
      <c r="EI179" t="s">
        <v>3</v>
      </c>
      <c r="EJ179">
        <v>1</v>
      </c>
      <c r="EK179">
        <v>15001</v>
      </c>
      <c r="EL179" t="s">
        <v>157</v>
      </c>
      <c r="EM179" t="s">
        <v>168</v>
      </c>
      <c r="EO179" t="s">
        <v>3</v>
      </c>
      <c r="EQ179">
        <v>32768</v>
      </c>
      <c r="ER179">
        <v>113054</v>
      </c>
      <c r="ES179">
        <v>113054</v>
      </c>
      <c r="ET179">
        <v>0</v>
      </c>
      <c r="EU179">
        <v>0</v>
      </c>
      <c r="EV179">
        <v>0</v>
      </c>
      <c r="EW179">
        <v>0</v>
      </c>
      <c r="EX179">
        <v>0</v>
      </c>
      <c r="FQ179">
        <v>0</v>
      </c>
      <c r="FR179">
        <f t="shared" si="214"/>
        <v>0</v>
      </c>
      <c r="FS179">
        <v>0</v>
      </c>
      <c r="FT179" t="s">
        <v>22</v>
      </c>
      <c r="FU179" t="s">
        <v>23</v>
      </c>
      <c r="FX179">
        <v>66.150000000000006</v>
      </c>
      <c r="FY179">
        <v>42.075000000000003</v>
      </c>
      <c r="GA179" t="s">
        <v>3</v>
      </c>
      <c r="GD179">
        <v>0</v>
      </c>
      <c r="GF179">
        <v>1453452198</v>
      </c>
      <c r="GG179">
        <v>2</v>
      </c>
      <c r="GH179">
        <v>1</v>
      </c>
      <c r="GI179">
        <v>2</v>
      </c>
      <c r="GJ179">
        <v>0</v>
      </c>
      <c r="GK179">
        <f>ROUND(R179*(R12)/100,0)</f>
        <v>0</v>
      </c>
      <c r="GL179">
        <f t="shared" si="215"/>
        <v>0</v>
      </c>
      <c r="GM179">
        <f t="shared" si="216"/>
        <v>-102</v>
      </c>
      <c r="GN179">
        <f t="shared" si="217"/>
        <v>-102</v>
      </c>
      <c r="GO179">
        <f t="shared" si="218"/>
        <v>0</v>
      </c>
      <c r="GP179">
        <f t="shared" si="219"/>
        <v>0</v>
      </c>
      <c r="GR179">
        <v>0</v>
      </c>
      <c r="GS179">
        <v>3</v>
      </c>
      <c r="GT179">
        <v>0</v>
      </c>
      <c r="GU179" t="s">
        <v>3</v>
      </c>
      <c r="GV179">
        <f t="shared" si="220"/>
        <v>0</v>
      </c>
      <c r="GW179">
        <v>1</v>
      </c>
      <c r="GX179">
        <f t="shared" si="221"/>
        <v>0</v>
      </c>
      <c r="HA179">
        <v>0</v>
      </c>
      <c r="HB179">
        <v>0</v>
      </c>
      <c r="IK179">
        <v>0</v>
      </c>
    </row>
    <row r="180" spans="1:245">
      <c r="A180">
        <v>17</v>
      </c>
      <c r="B180">
        <v>1</v>
      </c>
      <c r="E180" t="s">
        <v>404</v>
      </c>
      <c r="F180" t="s">
        <v>270</v>
      </c>
      <c r="G180" t="s">
        <v>405</v>
      </c>
      <c r="H180" t="s">
        <v>189</v>
      </c>
      <c r="I180">
        <v>0.52500000000000002</v>
      </c>
      <c r="J180">
        <v>0</v>
      </c>
      <c r="O180">
        <f t="shared" si="188"/>
        <v>998</v>
      </c>
      <c r="P180">
        <f t="shared" si="189"/>
        <v>998</v>
      </c>
      <c r="Q180">
        <f t="shared" si="190"/>
        <v>0</v>
      </c>
      <c r="R180">
        <f t="shared" si="191"/>
        <v>0</v>
      </c>
      <c r="S180">
        <f t="shared" si="192"/>
        <v>0</v>
      </c>
      <c r="T180">
        <f t="shared" si="193"/>
        <v>0</v>
      </c>
      <c r="U180">
        <f t="shared" si="194"/>
        <v>0</v>
      </c>
      <c r="V180">
        <f t="shared" si="195"/>
        <v>0</v>
      </c>
      <c r="W180">
        <f t="shared" si="196"/>
        <v>0</v>
      </c>
      <c r="X180">
        <f t="shared" si="197"/>
        <v>0</v>
      </c>
      <c r="Y180">
        <f t="shared" si="198"/>
        <v>0</v>
      </c>
      <c r="AA180">
        <v>48370320</v>
      </c>
      <c r="AB180">
        <f t="shared" si="199"/>
        <v>1900</v>
      </c>
      <c r="AC180">
        <f t="shared" si="200"/>
        <v>1900</v>
      </c>
      <c r="AD180">
        <f>ROUND((((ET180)-(EU180))+AE180),2)</f>
        <v>0</v>
      </c>
      <c r="AE180">
        <f>ROUND((EU180),2)</f>
        <v>0</v>
      </c>
      <c r="AF180">
        <f>ROUND((EV180),2)</f>
        <v>0</v>
      </c>
      <c r="AG180">
        <f t="shared" si="201"/>
        <v>0</v>
      </c>
      <c r="AH180">
        <f>(EW180)</f>
        <v>0</v>
      </c>
      <c r="AI180">
        <f>(EX180)</f>
        <v>0</v>
      </c>
      <c r="AJ180">
        <f t="shared" si="202"/>
        <v>0</v>
      </c>
      <c r="AK180">
        <v>1900</v>
      </c>
      <c r="AL180">
        <v>1900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</v>
      </c>
      <c r="AW180">
        <v>1</v>
      </c>
      <c r="AZ180">
        <v>1</v>
      </c>
      <c r="BA180">
        <v>1</v>
      </c>
      <c r="BB180">
        <v>1</v>
      </c>
      <c r="BC180">
        <v>1</v>
      </c>
      <c r="BD180" t="s">
        <v>3</v>
      </c>
      <c r="BE180" t="s">
        <v>3</v>
      </c>
      <c r="BF180" t="s">
        <v>3</v>
      </c>
      <c r="BG180" t="s">
        <v>3</v>
      </c>
      <c r="BH180">
        <v>3</v>
      </c>
      <c r="BI180">
        <v>1</v>
      </c>
      <c r="BJ180" t="s">
        <v>3</v>
      </c>
      <c r="BM180">
        <v>1100</v>
      </c>
      <c r="BN180">
        <v>0</v>
      </c>
      <c r="BO180" t="s">
        <v>3</v>
      </c>
      <c r="BP180">
        <v>0</v>
      </c>
      <c r="BQ180">
        <v>8</v>
      </c>
      <c r="BR180">
        <v>0</v>
      </c>
      <c r="BS180">
        <v>1</v>
      </c>
      <c r="BT180">
        <v>1</v>
      </c>
      <c r="BU180">
        <v>1</v>
      </c>
      <c r="BV180">
        <v>1</v>
      </c>
      <c r="BW180">
        <v>1</v>
      </c>
      <c r="BX180">
        <v>1</v>
      </c>
      <c r="BY180" t="s">
        <v>3</v>
      </c>
      <c r="BZ180">
        <v>0</v>
      </c>
      <c r="CA180">
        <v>0</v>
      </c>
      <c r="CF180">
        <v>0</v>
      </c>
      <c r="CG180">
        <v>0</v>
      </c>
      <c r="CM180">
        <v>0</v>
      </c>
      <c r="CN180" t="s">
        <v>3</v>
      </c>
      <c r="CO180">
        <v>0</v>
      </c>
      <c r="CP180">
        <f t="shared" si="203"/>
        <v>998</v>
      </c>
      <c r="CQ180">
        <f t="shared" si="204"/>
        <v>1900</v>
      </c>
      <c r="CR180">
        <f t="shared" si="205"/>
        <v>0</v>
      </c>
      <c r="CS180">
        <f t="shared" si="206"/>
        <v>0</v>
      </c>
      <c r="CT180">
        <f t="shared" si="207"/>
        <v>0</v>
      </c>
      <c r="CU180">
        <f t="shared" si="208"/>
        <v>0</v>
      </c>
      <c r="CV180">
        <f t="shared" si="209"/>
        <v>0</v>
      </c>
      <c r="CW180">
        <f t="shared" si="210"/>
        <v>0</v>
      </c>
      <c r="CX180">
        <f t="shared" si="211"/>
        <v>0</v>
      </c>
      <c r="CY180">
        <f t="shared" si="212"/>
        <v>0</v>
      </c>
      <c r="CZ180">
        <f t="shared" si="213"/>
        <v>0</v>
      </c>
      <c r="DC180" t="s">
        <v>3</v>
      </c>
      <c r="DD180" t="s">
        <v>3</v>
      </c>
      <c r="DE180" t="s">
        <v>3</v>
      </c>
      <c r="DF180" t="s">
        <v>3</v>
      </c>
      <c r="DG180" t="s">
        <v>3</v>
      </c>
      <c r="DH180" t="s">
        <v>3</v>
      </c>
      <c r="DI180" t="s">
        <v>3</v>
      </c>
      <c r="DJ180" t="s">
        <v>3</v>
      </c>
      <c r="DK180" t="s">
        <v>3</v>
      </c>
      <c r="DL180" t="s">
        <v>3</v>
      </c>
      <c r="DM180" t="s">
        <v>3</v>
      </c>
      <c r="DN180">
        <v>0</v>
      </c>
      <c r="DO180">
        <v>0</v>
      </c>
      <c r="DP180">
        <v>1</v>
      </c>
      <c r="DQ180">
        <v>1</v>
      </c>
      <c r="DU180">
        <v>1005</v>
      </c>
      <c r="DV180" t="s">
        <v>189</v>
      </c>
      <c r="DW180" t="s">
        <v>189</v>
      </c>
      <c r="DX180">
        <v>1</v>
      </c>
      <c r="EE180">
        <v>45269356</v>
      </c>
      <c r="EF180">
        <v>8</v>
      </c>
      <c r="EG180" t="s">
        <v>174</v>
      </c>
      <c r="EH180">
        <v>0</v>
      </c>
      <c r="EI180" t="s">
        <v>3</v>
      </c>
      <c r="EJ180">
        <v>1</v>
      </c>
      <c r="EK180">
        <v>1100</v>
      </c>
      <c r="EL180" t="s">
        <v>282</v>
      </c>
      <c r="EM180" t="s">
        <v>283</v>
      </c>
      <c r="EO180" t="s">
        <v>3</v>
      </c>
      <c r="EQ180">
        <v>0</v>
      </c>
      <c r="ER180">
        <v>1900</v>
      </c>
      <c r="ES180">
        <v>1900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FQ180">
        <v>0</v>
      </c>
      <c r="FR180">
        <f t="shared" si="214"/>
        <v>0</v>
      </c>
      <c r="FS180">
        <v>0</v>
      </c>
      <c r="FX180">
        <v>0</v>
      </c>
      <c r="FY180">
        <v>0</v>
      </c>
      <c r="GA180" t="s">
        <v>274</v>
      </c>
      <c r="GD180">
        <v>0</v>
      </c>
      <c r="GF180">
        <v>1531001459</v>
      </c>
      <c r="GG180">
        <v>2</v>
      </c>
      <c r="GH180">
        <v>0</v>
      </c>
      <c r="GI180">
        <v>-2</v>
      </c>
      <c r="GJ180">
        <v>0</v>
      </c>
      <c r="GK180">
        <f>ROUND(R180*(R12)/100,0)</f>
        <v>0</v>
      </c>
      <c r="GL180">
        <f t="shared" si="215"/>
        <v>0</v>
      </c>
      <c r="GM180">
        <f t="shared" si="216"/>
        <v>998</v>
      </c>
      <c r="GN180">
        <f t="shared" si="217"/>
        <v>998</v>
      </c>
      <c r="GO180">
        <f t="shared" si="218"/>
        <v>0</v>
      </c>
      <c r="GP180">
        <f t="shared" si="219"/>
        <v>0</v>
      </c>
      <c r="GR180">
        <v>0</v>
      </c>
      <c r="GS180">
        <v>4</v>
      </c>
      <c r="GT180">
        <v>0</v>
      </c>
      <c r="GU180" t="s">
        <v>3</v>
      </c>
      <c r="GV180">
        <f t="shared" si="220"/>
        <v>0</v>
      </c>
      <c r="GW180">
        <v>1</v>
      </c>
      <c r="GX180">
        <f t="shared" si="221"/>
        <v>0</v>
      </c>
      <c r="HA180">
        <v>0</v>
      </c>
      <c r="HB180">
        <v>0</v>
      </c>
      <c r="IK180">
        <v>0</v>
      </c>
    </row>
    <row r="181" spans="1:245">
      <c r="A181">
        <v>17</v>
      </c>
      <c r="B181">
        <v>1</v>
      </c>
      <c r="C181">
        <f>ROW(SmtRes!A439)</f>
        <v>439</v>
      </c>
      <c r="D181">
        <f>ROW(EtalonRes!A441)</f>
        <v>441</v>
      </c>
      <c r="E181" t="s">
        <v>406</v>
      </c>
      <c r="F181" t="s">
        <v>395</v>
      </c>
      <c r="G181" t="s">
        <v>407</v>
      </c>
      <c r="H181" t="s">
        <v>397</v>
      </c>
      <c r="I181">
        <f>ROUND(3.12/100,9)</f>
        <v>3.1199999999999999E-2</v>
      </c>
      <c r="J181">
        <v>0</v>
      </c>
      <c r="O181">
        <f t="shared" si="188"/>
        <v>1785</v>
      </c>
      <c r="P181">
        <f t="shared" si="189"/>
        <v>697</v>
      </c>
      <c r="Q181">
        <f t="shared" si="190"/>
        <v>18</v>
      </c>
      <c r="R181">
        <f t="shared" si="191"/>
        <v>1</v>
      </c>
      <c r="S181">
        <f t="shared" si="192"/>
        <v>1070</v>
      </c>
      <c r="T181">
        <f t="shared" si="193"/>
        <v>0</v>
      </c>
      <c r="U181">
        <f t="shared" si="194"/>
        <v>5.9729435999999989</v>
      </c>
      <c r="V181">
        <f t="shared" si="195"/>
        <v>3.1199999999999999E-3</v>
      </c>
      <c r="W181">
        <f t="shared" si="196"/>
        <v>0</v>
      </c>
      <c r="X181">
        <f t="shared" si="197"/>
        <v>707</v>
      </c>
      <c r="Y181">
        <f t="shared" si="198"/>
        <v>450</v>
      </c>
      <c r="AA181">
        <v>48370320</v>
      </c>
      <c r="AB181">
        <f t="shared" si="199"/>
        <v>14112.79</v>
      </c>
      <c r="AC181">
        <f t="shared" si="200"/>
        <v>12409.36</v>
      </c>
      <c r="AD181">
        <f>ROUND(((((ET181*1.25))-((EU181*1.25)))+AE181),2)</f>
        <v>60.87</v>
      </c>
      <c r="AE181">
        <f>ROUND(((EU181*1.25)),2)</f>
        <v>1.21</v>
      </c>
      <c r="AF181">
        <f>ROUND(((EV181*1.15)),2)</f>
        <v>1642.56</v>
      </c>
      <c r="AG181">
        <f t="shared" si="201"/>
        <v>0</v>
      </c>
      <c r="AH181">
        <f>((EW181*1.15))</f>
        <v>191.44049999999999</v>
      </c>
      <c r="AI181">
        <f>((EX181*1.25))</f>
        <v>0.1</v>
      </c>
      <c r="AJ181">
        <f t="shared" si="202"/>
        <v>0</v>
      </c>
      <c r="AK181">
        <v>13886.37</v>
      </c>
      <c r="AL181">
        <v>12409.36</v>
      </c>
      <c r="AM181">
        <v>48.7</v>
      </c>
      <c r="AN181">
        <v>0.97</v>
      </c>
      <c r="AO181">
        <v>1428.31</v>
      </c>
      <c r="AP181">
        <v>0</v>
      </c>
      <c r="AQ181">
        <v>166.47</v>
      </c>
      <c r="AR181">
        <v>0.08</v>
      </c>
      <c r="AS181">
        <v>0</v>
      </c>
      <c r="AT181">
        <v>66</v>
      </c>
      <c r="AU181">
        <v>42</v>
      </c>
      <c r="AV181">
        <v>1</v>
      </c>
      <c r="AW181">
        <v>1</v>
      </c>
      <c r="AZ181">
        <v>1</v>
      </c>
      <c r="BA181">
        <v>20.88</v>
      </c>
      <c r="BB181">
        <v>9.23</v>
      </c>
      <c r="BC181">
        <v>1.8</v>
      </c>
      <c r="BD181" t="s">
        <v>3</v>
      </c>
      <c r="BE181" t="s">
        <v>3</v>
      </c>
      <c r="BF181" t="s">
        <v>3</v>
      </c>
      <c r="BG181" t="s">
        <v>3</v>
      </c>
      <c r="BH181">
        <v>0</v>
      </c>
      <c r="BI181">
        <v>1</v>
      </c>
      <c r="BJ181" t="s">
        <v>398</v>
      </c>
      <c r="BM181">
        <v>15001</v>
      </c>
      <c r="BN181">
        <v>0</v>
      </c>
      <c r="BO181" t="s">
        <v>395</v>
      </c>
      <c r="BP181">
        <v>1</v>
      </c>
      <c r="BQ181">
        <v>2</v>
      </c>
      <c r="BR181">
        <v>0</v>
      </c>
      <c r="BS181">
        <v>20.88</v>
      </c>
      <c r="BT181">
        <v>1</v>
      </c>
      <c r="BU181">
        <v>1</v>
      </c>
      <c r="BV181">
        <v>1</v>
      </c>
      <c r="BW181">
        <v>1</v>
      </c>
      <c r="BX181">
        <v>1</v>
      </c>
      <c r="BY181" t="s">
        <v>3</v>
      </c>
      <c r="BZ181">
        <v>105</v>
      </c>
      <c r="CA181">
        <v>55</v>
      </c>
      <c r="CF181">
        <v>0</v>
      </c>
      <c r="CG181">
        <v>0</v>
      </c>
      <c r="CM181">
        <v>0</v>
      </c>
      <c r="CN181" t="s">
        <v>937</v>
      </c>
      <c r="CO181">
        <v>0</v>
      </c>
      <c r="CP181">
        <f t="shared" si="203"/>
        <v>1785</v>
      </c>
      <c r="CQ181">
        <f t="shared" si="204"/>
        <v>22336.848000000002</v>
      </c>
      <c r="CR181">
        <f t="shared" si="205"/>
        <v>561.83010000000002</v>
      </c>
      <c r="CS181">
        <f t="shared" si="206"/>
        <v>25.264799999999997</v>
      </c>
      <c r="CT181">
        <f t="shared" si="207"/>
        <v>34296.652799999996</v>
      </c>
      <c r="CU181">
        <f t="shared" si="208"/>
        <v>0</v>
      </c>
      <c r="CV181">
        <f t="shared" si="209"/>
        <v>191.44049999999999</v>
      </c>
      <c r="CW181">
        <f t="shared" si="210"/>
        <v>0.1</v>
      </c>
      <c r="CX181">
        <f t="shared" si="211"/>
        <v>0</v>
      </c>
      <c r="CY181">
        <f t="shared" si="212"/>
        <v>706.86</v>
      </c>
      <c r="CZ181">
        <f t="shared" si="213"/>
        <v>449.82</v>
      </c>
      <c r="DC181" t="s">
        <v>3</v>
      </c>
      <c r="DD181" t="s">
        <v>3</v>
      </c>
      <c r="DE181" t="s">
        <v>160</v>
      </c>
      <c r="DF181" t="s">
        <v>160</v>
      </c>
      <c r="DG181" t="s">
        <v>161</v>
      </c>
      <c r="DH181" t="s">
        <v>3</v>
      </c>
      <c r="DI181" t="s">
        <v>161</v>
      </c>
      <c r="DJ181" t="s">
        <v>160</v>
      </c>
      <c r="DK181" t="s">
        <v>3</v>
      </c>
      <c r="DL181" t="s">
        <v>3</v>
      </c>
      <c r="DM181" t="s">
        <v>3</v>
      </c>
      <c r="DN181">
        <v>0</v>
      </c>
      <c r="DO181">
        <v>0</v>
      </c>
      <c r="DP181">
        <v>1</v>
      </c>
      <c r="DQ181">
        <v>1</v>
      </c>
      <c r="DU181">
        <v>1013</v>
      </c>
      <c r="DV181" t="s">
        <v>397</v>
      </c>
      <c r="DW181" t="s">
        <v>397</v>
      </c>
      <c r="DX181">
        <v>1</v>
      </c>
      <c r="EE181">
        <v>45269202</v>
      </c>
      <c r="EF181">
        <v>2</v>
      </c>
      <c r="EG181" t="s">
        <v>19</v>
      </c>
      <c r="EH181">
        <v>0</v>
      </c>
      <c r="EI181" t="s">
        <v>3</v>
      </c>
      <c r="EJ181">
        <v>1</v>
      </c>
      <c r="EK181">
        <v>15001</v>
      </c>
      <c r="EL181" t="s">
        <v>157</v>
      </c>
      <c r="EM181" t="s">
        <v>168</v>
      </c>
      <c r="EO181" t="s">
        <v>162</v>
      </c>
      <c r="EQ181">
        <v>0</v>
      </c>
      <c r="ER181">
        <v>13886.37</v>
      </c>
      <c r="ES181">
        <v>12409.36</v>
      </c>
      <c r="ET181">
        <v>48.7</v>
      </c>
      <c r="EU181">
        <v>0.97</v>
      </c>
      <c r="EV181">
        <v>1428.31</v>
      </c>
      <c r="EW181">
        <v>166.47</v>
      </c>
      <c r="EX181">
        <v>0.08</v>
      </c>
      <c r="EY181">
        <v>0</v>
      </c>
      <c r="FQ181">
        <v>0</v>
      </c>
      <c r="FR181">
        <f t="shared" si="214"/>
        <v>0</v>
      </c>
      <c r="FS181">
        <v>0</v>
      </c>
      <c r="FT181" t="s">
        <v>22</v>
      </c>
      <c r="FU181" t="s">
        <v>23</v>
      </c>
      <c r="FX181">
        <v>66.150000000000006</v>
      </c>
      <c r="FY181">
        <v>42.075000000000003</v>
      </c>
      <c r="GA181" t="s">
        <v>3</v>
      </c>
      <c r="GD181">
        <v>0</v>
      </c>
      <c r="GF181">
        <v>-447382298</v>
      </c>
      <c r="GG181">
        <v>2</v>
      </c>
      <c r="GH181">
        <v>1</v>
      </c>
      <c r="GI181">
        <v>2</v>
      </c>
      <c r="GJ181">
        <v>0</v>
      </c>
      <c r="GK181">
        <f>ROUND(R181*(R12)/100,0)</f>
        <v>0</v>
      </c>
      <c r="GL181">
        <f t="shared" si="215"/>
        <v>0</v>
      </c>
      <c r="GM181">
        <f t="shared" si="216"/>
        <v>2942</v>
      </c>
      <c r="GN181">
        <f t="shared" si="217"/>
        <v>2942</v>
      </c>
      <c r="GO181">
        <f t="shared" si="218"/>
        <v>0</v>
      </c>
      <c r="GP181">
        <f t="shared" si="219"/>
        <v>0</v>
      </c>
      <c r="GR181">
        <v>0</v>
      </c>
      <c r="GS181">
        <v>3</v>
      </c>
      <c r="GT181">
        <v>0</v>
      </c>
      <c r="GU181" t="s">
        <v>3</v>
      </c>
      <c r="GV181">
        <f t="shared" si="220"/>
        <v>0</v>
      </c>
      <c r="GW181">
        <v>1</v>
      </c>
      <c r="GX181">
        <f t="shared" si="221"/>
        <v>0</v>
      </c>
      <c r="HA181">
        <v>0</v>
      </c>
      <c r="HB181">
        <v>0</v>
      </c>
      <c r="IK181">
        <v>0</v>
      </c>
    </row>
    <row r="182" spans="1:245">
      <c r="A182">
        <v>18</v>
      </c>
      <c r="B182">
        <v>1</v>
      </c>
      <c r="C182">
        <v>437</v>
      </c>
      <c r="E182" t="s">
        <v>408</v>
      </c>
      <c r="F182" t="s">
        <v>400</v>
      </c>
      <c r="G182" t="s">
        <v>401</v>
      </c>
      <c r="H182" t="s">
        <v>402</v>
      </c>
      <c r="I182">
        <f>I181*J182</f>
        <v>-3.2759999999999998E-3</v>
      </c>
      <c r="J182">
        <v>-0.105</v>
      </c>
      <c r="O182">
        <f t="shared" si="188"/>
        <v>-637</v>
      </c>
      <c r="P182">
        <f t="shared" si="189"/>
        <v>-637</v>
      </c>
      <c r="Q182">
        <f t="shared" si="190"/>
        <v>0</v>
      </c>
      <c r="R182">
        <f t="shared" si="191"/>
        <v>0</v>
      </c>
      <c r="S182">
        <f t="shared" si="192"/>
        <v>0</v>
      </c>
      <c r="T182">
        <f t="shared" si="193"/>
        <v>0</v>
      </c>
      <c r="U182">
        <f t="shared" si="194"/>
        <v>0</v>
      </c>
      <c r="V182">
        <f t="shared" si="195"/>
        <v>0</v>
      </c>
      <c r="W182">
        <f t="shared" si="196"/>
        <v>0</v>
      </c>
      <c r="X182">
        <f t="shared" si="197"/>
        <v>0</v>
      </c>
      <c r="Y182">
        <f t="shared" si="198"/>
        <v>0</v>
      </c>
      <c r="AA182">
        <v>48370320</v>
      </c>
      <c r="AB182">
        <f t="shared" si="199"/>
        <v>113054</v>
      </c>
      <c r="AC182">
        <f t="shared" si="200"/>
        <v>113054</v>
      </c>
      <c r="AD182">
        <f>ROUND((((ET182)-(EU182))+AE182),2)</f>
        <v>0</v>
      </c>
      <c r="AE182">
        <f t="shared" ref="AE182:AF185" si="224">ROUND((EU182),2)</f>
        <v>0</v>
      </c>
      <c r="AF182">
        <f t="shared" si="224"/>
        <v>0</v>
      </c>
      <c r="AG182">
        <f t="shared" si="201"/>
        <v>0</v>
      </c>
      <c r="AH182">
        <f t="shared" ref="AH182:AI185" si="225">(EW182)</f>
        <v>0</v>
      </c>
      <c r="AI182">
        <f t="shared" si="225"/>
        <v>0</v>
      </c>
      <c r="AJ182">
        <f t="shared" si="202"/>
        <v>0</v>
      </c>
      <c r="AK182">
        <v>113054</v>
      </c>
      <c r="AL182">
        <v>113054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66</v>
      </c>
      <c r="AU182">
        <v>42</v>
      </c>
      <c r="AV182">
        <v>1</v>
      </c>
      <c r="AW182">
        <v>1</v>
      </c>
      <c r="AZ182">
        <v>1</v>
      </c>
      <c r="BA182">
        <v>1</v>
      </c>
      <c r="BB182">
        <v>1</v>
      </c>
      <c r="BC182">
        <v>1.72</v>
      </c>
      <c r="BD182" t="s">
        <v>3</v>
      </c>
      <c r="BE182" t="s">
        <v>3</v>
      </c>
      <c r="BF182" t="s">
        <v>3</v>
      </c>
      <c r="BG182" t="s">
        <v>3</v>
      </c>
      <c r="BH182">
        <v>3</v>
      </c>
      <c r="BI182">
        <v>1</v>
      </c>
      <c r="BJ182" t="s">
        <v>403</v>
      </c>
      <c r="BM182">
        <v>15001</v>
      </c>
      <c r="BN182">
        <v>0</v>
      </c>
      <c r="BO182" t="s">
        <v>400</v>
      </c>
      <c r="BP182">
        <v>1</v>
      </c>
      <c r="BQ182">
        <v>2</v>
      </c>
      <c r="BR182">
        <v>1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Y182" t="s">
        <v>3</v>
      </c>
      <c r="BZ182">
        <v>105</v>
      </c>
      <c r="CA182">
        <v>55</v>
      </c>
      <c r="CF182">
        <v>0</v>
      </c>
      <c r="CG182">
        <v>0</v>
      </c>
      <c r="CM182">
        <v>0</v>
      </c>
      <c r="CN182" t="s">
        <v>3</v>
      </c>
      <c r="CO182">
        <v>0</v>
      </c>
      <c r="CP182">
        <f t="shared" si="203"/>
        <v>-637</v>
      </c>
      <c r="CQ182">
        <f t="shared" si="204"/>
        <v>194452.88</v>
      </c>
      <c r="CR182">
        <f t="shared" si="205"/>
        <v>0</v>
      </c>
      <c r="CS182">
        <f t="shared" si="206"/>
        <v>0</v>
      </c>
      <c r="CT182">
        <f t="shared" si="207"/>
        <v>0</v>
      </c>
      <c r="CU182">
        <f t="shared" si="208"/>
        <v>0</v>
      </c>
      <c r="CV182">
        <f t="shared" si="209"/>
        <v>0</v>
      </c>
      <c r="CW182">
        <f t="shared" si="210"/>
        <v>0</v>
      </c>
      <c r="CX182">
        <f t="shared" si="211"/>
        <v>0</v>
      </c>
      <c r="CY182">
        <f t="shared" si="212"/>
        <v>0</v>
      </c>
      <c r="CZ182">
        <f t="shared" si="213"/>
        <v>0</v>
      </c>
      <c r="DC182" t="s">
        <v>3</v>
      </c>
      <c r="DD182" t="s">
        <v>3</v>
      </c>
      <c r="DE182" t="s">
        <v>3</v>
      </c>
      <c r="DF182" t="s">
        <v>3</v>
      </c>
      <c r="DG182" t="s">
        <v>3</v>
      </c>
      <c r="DH182" t="s">
        <v>3</v>
      </c>
      <c r="DI182" t="s">
        <v>3</v>
      </c>
      <c r="DJ182" t="s">
        <v>3</v>
      </c>
      <c r="DK182" t="s">
        <v>3</v>
      </c>
      <c r="DL182" t="s">
        <v>3</v>
      </c>
      <c r="DM182" t="s">
        <v>3</v>
      </c>
      <c r="DN182">
        <v>0</v>
      </c>
      <c r="DO182">
        <v>0</v>
      </c>
      <c r="DP182">
        <v>1</v>
      </c>
      <c r="DQ182">
        <v>1</v>
      </c>
      <c r="DU182">
        <v>1005</v>
      </c>
      <c r="DV182" t="s">
        <v>402</v>
      </c>
      <c r="DW182" t="s">
        <v>402</v>
      </c>
      <c r="DX182">
        <v>1000</v>
      </c>
      <c r="EE182">
        <v>45269202</v>
      </c>
      <c r="EF182">
        <v>2</v>
      </c>
      <c r="EG182" t="s">
        <v>19</v>
      </c>
      <c r="EH182">
        <v>0</v>
      </c>
      <c r="EI182" t="s">
        <v>3</v>
      </c>
      <c r="EJ182">
        <v>1</v>
      </c>
      <c r="EK182">
        <v>15001</v>
      </c>
      <c r="EL182" t="s">
        <v>157</v>
      </c>
      <c r="EM182" t="s">
        <v>168</v>
      </c>
      <c r="EO182" t="s">
        <v>3</v>
      </c>
      <c r="EQ182">
        <v>0</v>
      </c>
      <c r="ER182">
        <v>113054</v>
      </c>
      <c r="ES182">
        <v>113054</v>
      </c>
      <c r="ET182">
        <v>0</v>
      </c>
      <c r="EU182">
        <v>0</v>
      </c>
      <c r="EV182">
        <v>0</v>
      </c>
      <c r="EW182">
        <v>0</v>
      </c>
      <c r="EX182">
        <v>0</v>
      </c>
      <c r="FQ182">
        <v>0</v>
      </c>
      <c r="FR182">
        <f t="shared" si="214"/>
        <v>0</v>
      </c>
      <c r="FS182">
        <v>0</v>
      </c>
      <c r="FT182" t="s">
        <v>22</v>
      </c>
      <c r="FU182" t="s">
        <v>23</v>
      </c>
      <c r="FX182">
        <v>66.150000000000006</v>
      </c>
      <c r="FY182">
        <v>42.075000000000003</v>
      </c>
      <c r="GA182" t="s">
        <v>3</v>
      </c>
      <c r="GD182">
        <v>0</v>
      </c>
      <c r="GF182">
        <v>1453452198</v>
      </c>
      <c r="GG182">
        <v>2</v>
      </c>
      <c r="GH182">
        <v>1</v>
      </c>
      <c r="GI182">
        <v>2</v>
      </c>
      <c r="GJ182">
        <v>0</v>
      </c>
      <c r="GK182">
        <f>ROUND(R182*(R12)/100,0)</f>
        <v>0</v>
      </c>
      <c r="GL182">
        <f t="shared" si="215"/>
        <v>0</v>
      </c>
      <c r="GM182">
        <f t="shared" si="216"/>
        <v>-637</v>
      </c>
      <c r="GN182">
        <f t="shared" si="217"/>
        <v>-637</v>
      </c>
      <c r="GO182">
        <f t="shared" si="218"/>
        <v>0</v>
      </c>
      <c r="GP182">
        <f t="shared" si="219"/>
        <v>0</v>
      </c>
      <c r="GR182">
        <v>0</v>
      </c>
      <c r="GS182">
        <v>3</v>
      </c>
      <c r="GT182">
        <v>0</v>
      </c>
      <c r="GU182" t="s">
        <v>3</v>
      </c>
      <c r="GV182">
        <f t="shared" si="220"/>
        <v>0</v>
      </c>
      <c r="GW182">
        <v>1</v>
      </c>
      <c r="GX182">
        <f t="shared" si="221"/>
        <v>0</v>
      </c>
      <c r="HA182">
        <v>0</v>
      </c>
      <c r="HB182">
        <v>0</v>
      </c>
      <c r="IK182">
        <v>0</v>
      </c>
    </row>
    <row r="183" spans="1:245">
      <c r="A183">
        <v>17</v>
      </c>
      <c r="B183">
        <v>1</v>
      </c>
      <c r="E183" t="s">
        <v>409</v>
      </c>
      <c r="F183" t="s">
        <v>410</v>
      </c>
      <c r="G183" t="s">
        <v>411</v>
      </c>
      <c r="H183" t="s">
        <v>189</v>
      </c>
      <c r="I183">
        <v>3.12</v>
      </c>
      <c r="J183">
        <v>0</v>
      </c>
      <c r="O183">
        <f t="shared" si="188"/>
        <v>1143</v>
      </c>
      <c r="P183">
        <f t="shared" si="189"/>
        <v>1143</v>
      </c>
      <c r="Q183">
        <f t="shared" si="190"/>
        <v>0</v>
      </c>
      <c r="R183">
        <f t="shared" si="191"/>
        <v>0</v>
      </c>
      <c r="S183">
        <f t="shared" si="192"/>
        <v>0</v>
      </c>
      <c r="T183">
        <f t="shared" si="193"/>
        <v>0</v>
      </c>
      <c r="U183">
        <f t="shared" si="194"/>
        <v>0</v>
      </c>
      <c r="V183">
        <f t="shared" si="195"/>
        <v>0</v>
      </c>
      <c r="W183">
        <f t="shared" si="196"/>
        <v>0</v>
      </c>
      <c r="X183">
        <f t="shared" si="197"/>
        <v>0</v>
      </c>
      <c r="Y183">
        <f t="shared" si="198"/>
        <v>0</v>
      </c>
      <c r="AA183">
        <v>48370320</v>
      </c>
      <c r="AB183">
        <f t="shared" si="199"/>
        <v>581.29999999999995</v>
      </c>
      <c r="AC183">
        <f t="shared" si="200"/>
        <v>581.29999999999995</v>
      </c>
      <c r="AD183">
        <f>ROUND((((ET183)-(EU183))+AE183),2)</f>
        <v>0</v>
      </c>
      <c r="AE183">
        <f t="shared" si="224"/>
        <v>0</v>
      </c>
      <c r="AF183">
        <f t="shared" si="224"/>
        <v>0</v>
      </c>
      <c r="AG183">
        <f t="shared" si="201"/>
        <v>0</v>
      </c>
      <c r="AH183">
        <f t="shared" si="225"/>
        <v>0</v>
      </c>
      <c r="AI183">
        <f t="shared" si="225"/>
        <v>0</v>
      </c>
      <c r="AJ183">
        <f t="shared" si="202"/>
        <v>0</v>
      </c>
      <c r="AK183">
        <v>581.29999999999995</v>
      </c>
      <c r="AL183">
        <v>581.29999999999995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1</v>
      </c>
      <c r="AW183">
        <v>1</v>
      </c>
      <c r="AZ183">
        <v>1</v>
      </c>
      <c r="BA183">
        <v>1</v>
      </c>
      <c r="BB183">
        <v>1</v>
      </c>
      <c r="BC183">
        <v>0.63</v>
      </c>
      <c r="BD183" t="s">
        <v>3</v>
      </c>
      <c r="BE183" t="s">
        <v>3</v>
      </c>
      <c r="BF183" t="s">
        <v>3</v>
      </c>
      <c r="BG183" t="s">
        <v>3</v>
      </c>
      <c r="BH183">
        <v>3</v>
      </c>
      <c r="BI183">
        <v>1</v>
      </c>
      <c r="BJ183" t="s">
        <v>412</v>
      </c>
      <c r="BM183">
        <v>500001</v>
      </c>
      <c r="BN183">
        <v>0</v>
      </c>
      <c r="BO183" t="s">
        <v>410</v>
      </c>
      <c r="BP183">
        <v>1</v>
      </c>
      <c r="BQ183">
        <v>8</v>
      </c>
      <c r="BR183">
        <v>0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 t="s">
        <v>3</v>
      </c>
      <c r="BZ183">
        <v>0</v>
      </c>
      <c r="CA183">
        <v>0</v>
      </c>
      <c r="CF183">
        <v>0</v>
      </c>
      <c r="CG183">
        <v>0</v>
      </c>
      <c r="CM183">
        <v>0</v>
      </c>
      <c r="CN183" t="s">
        <v>3</v>
      </c>
      <c r="CO183">
        <v>0</v>
      </c>
      <c r="CP183">
        <f t="shared" si="203"/>
        <v>1143</v>
      </c>
      <c r="CQ183">
        <f t="shared" si="204"/>
        <v>366.21899999999999</v>
      </c>
      <c r="CR183">
        <f t="shared" si="205"/>
        <v>0</v>
      </c>
      <c r="CS183">
        <f t="shared" si="206"/>
        <v>0</v>
      </c>
      <c r="CT183">
        <f t="shared" si="207"/>
        <v>0</v>
      </c>
      <c r="CU183">
        <f t="shared" si="208"/>
        <v>0</v>
      </c>
      <c r="CV183">
        <f t="shared" si="209"/>
        <v>0</v>
      </c>
      <c r="CW183">
        <f t="shared" si="210"/>
        <v>0</v>
      </c>
      <c r="CX183">
        <f t="shared" si="211"/>
        <v>0</v>
      </c>
      <c r="CY183">
        <f t="shared" si="212"/>
        <v>0</v>
      </c>
      <c r="CZ183">
        <f t="shared" si="213"/>
        <v>0</v>
      </c>
      <c r="DC183" t="s">
        <v>3</v>
      </c>
      <c r="DD183" t="s">
        <v>3</v>
      </c>
      <c r="DE183" t="s">
        <v>3</v>
      </c>
      <c r="DF183" t="s">
        <v>3</v>
      </c>
      <c r="DG183" t="s">
        <v>3</v>
      </c>
      <c r="DH183" t="s">
        <v>3</v>
      </c>
      <c r="DI183" t="s">
        <v>3</v>
      </c>
      <c r="DJ183" t="s">
        <v>3</v>
      </c>
      <c r="DK183" t="s">
        <v>3</v>
      </c>
      <c r="DL183" t="s">
        <v>3</v>
      </c>
      <c r="DM183" t="s">
        <v>3</v>
      </c>
      <c r="DN183">
        <v>0</v>
      </c>
      <c r="DO183">
        <v>0</v>
      </c>
      <c r="DP183">
        <v>1</v>
      </c>
      <c r="DQ183">
        <v>1</v>
      </c>
      <c r="DU183">
        <v>1005</v>
      </c>
      <c r="DV183" t="s">
        <v>189</v>
      </c>
      <c r="DW183" t="s">
        <v>189</v>
      </c>
      <c r="DX183">
        <v>1</v>
      </c>
      <c r="EE183">
        <v>45269109</v>
      </c>
      <c r="EF183">
        <v>8</v>
      </c>
      <c r="EG183" t="s">
        <v>174</v>
      </c>
      <c r="EH183">
        <v>0</v>
      </c>
      <c r="EI183" t="s">
        <v>3</v>
      </c>
      <c r="EJ183">
        <v>1</v>
      </c>
      <c r="EK183">
        <v>500001</v>
      </c>
      <c r="EL183" t="s">
        <v>175</v>
      </c>
      <c r="EM183" t="s">
        <v>176</v>
      </c>
      <c r="EO183" t="s">
        <v>3</v>
      </c>
      <c r="EQ183">
        <v>0</v>
      </c>
      <c r="ER183">
        <v>581.29999999999995</v>
      </c>
      <c r="ES183">
        <v>581.29999999999995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FQ183">
        <v>0</v>
      </c>
      <c r="FR183">
        <f t="shared" si="214"/>
        <v>0</v>
      </c>
      <c r="FS183">
        <v>0</v>
      </c>
      <c r="FX183">
        <v>0</v>
      </c>
      <c r="FY183">
        <v>0</v>
      </c>
      <c r="GA183" t="s">
        <v>3</v>
      </c>
      <c r="GD183">
        <v>0</v>
      </c>
      <c r="GF183">
        <v>573847052</v>
      </c>
      <c r="GG183">
        <v>2</v>
      </c>
      <c r="GH183">
        <v>1</v>
      </c>
      <c r="GI183">
        <v>2</v>
      </c>
      <c r="GJ183">
        <v>0</v>
      </c>
      <c r="GK183">
        <f>ROUND(R183*(R12)/100,0)</f>
        <v>0</v>
      </c>
      <c r="GL183">
        <f t="shared" si="215"/>
        <v>0</v>
      </c>
      <c r="GM183">
        <f t="shared" si="216"/>
        <v>1143</v>
      </c>
      <c r="GN183">
        <f t="shared" si="217"/>
        <v>1143</v>
      </c>
      <c r="GO183">
        <f t="shared" si="218"/>
        <v>0</v>
      </c>
      <c r="GP183">
        <f t="shared" si="219"/>
        <v>0</v>
      </c>
      <c r="GR183">
        <v>0</v>
      </c>
      <c r="GS183">
        <v>3</v>
      </c>
      <c r="GT183">
        <v>0</v>
      </c>
      <c r="GU183" t="s">
        <v>3</v>
      </c>
      <c r="GV183">
        <f t="shared" si="220"/>
        <v>0</v>
      </c>
      <c r="GW183">
        <v>1</v>
      </c>
      <c r="GX183">
        <f t="shared" si="221"/>
        <v>0</v>
      </c>
      <c r="HA183">
        <v>0</v>
      </c>
      <c r="HB183">
        <v>0</v>
      </c>
      <c r="IK183">
        <v>0</v>
      </c>
    </row>
    <row r="184" spans="1:245">
      <c r="A184">
        <v>17</v>
      </c>
      <c r="B184">
        <v>1</v>
      </c>
      <c r="C184">
        <f>ROW(SmtRes!A450)</f>
        <v>450</v>
      </c>
      <c r="D184">
        <f>ROW(EtalonRes!A452)</f>
        <v>452</v>
      </c>
      <c r="E184" t="s">
        <v>413</v>
      </c>
      <c r="F184" t="s">
        <v>29</v>
      </c>
      <c r="G184" t="s">
        <v>30</v>
      </c>
      <c r="H184" t="s">
        <v>31</v>
      </c>
      <c r="I184">
        <v>1.9599999999999999E-2</v>
      </c>
      <c r="J184">
        <v>0</v>
      </c>
      <c r="O184">
        <f t="shared" si="188"/>
        <v>2079</v>
      </c>
      <c r="P184">
        <f t="shared" si="189"/>
        <v>1521</v>
      </c>
      <c r="Q184">
        <f t="shared" si="190"/>
        <v>10</v>
      </c>
      <c r="R184">
        <f t="shared" si="191"/>
        <v>2</v>
      </c>
      <c r="S184">
        <f t="shared" si="192"/>
        <v>548</v>
      </c>
      <c r="T184">
        <f t="shared" si="193"/>
        <v>0</v>
      </c>
      <c r="U184">
        <f t="shared" si="194"/>
        <v>3.2512479999999999</v>
      </c>
      <c r="V184">
        <f t="shared" si="195"/>
        <v>9.2119999999999997E-3</v>
      </c>
      <c r="W184">
        <f t="shared" si="196"/>
        <v>0</v>
      </c>
      <c r="X184">
        <f t="shared" si="197"/>
        <v>330</v>
      </c>
      <c r="Y184">
        <f t="shared" si="198"/>
        <v>347</v>
      </c>
      <c r="AA184">
        <v>48370320</v>
      </c>
      <c r="AB184">
        <f t="shared" si="199"/>
        <v>10554.59</v>
      </c>
      <c r="AC184">
        <f t="shared" si="200"/>
        <v>9162.24</v>
      </c>
      <c r="AD184">
        <f>ROUND((((ET184)-(EU184))+AE184),2)</f>
        <v>53.7</v>
      </c>
      <c r="AE184">
        <f t="shared" si="224"/>
        <v>4.2300000000000004</v>
      </c>
      <c r="AF184">
        <f t="shared" si="224"/>
        <v>1338.65</v>
      </c>
      <c r="AG184">
        <f t="shared" si="201"/>
        <v>0</v>
      </c>
      <c r="AH184">
        <f t="shared" si="225"/>
        <v>165.88</v>
      </c>
      <c r="AI184">
        <f t="shared" si="225"/>
        <v>0.47</v>
      </c>
      <c r="AJ184">
        <f t="shared" si="202"/>
        <v>0</v>
      </c>
      <c r="AK184">
        <v>10554.59</v>
      </c>
      <c r="AL184">
        <v>9162.24</v>
      </c>
      <c r="AM184">
        <v>53.7</v>
      </c>
      <c r="AN184">
        <v>4.2300000000000004</v>
      </c>
      <c r="AO184">
        <v>1338.65</v>
      </c>
      <c r="AP184">
        <v>0</v>
      </c>
      <c r="AQ184">
        <v>165.88</v>
      </c>
      <c r="AR184">
        <v>0.47</v>
      </c>
      <c r="AS184">
        <v>0</v>
      </c>
      <c r="AT184">
        <v>60</v>
      </c>
      <c r="AU184">
        <v>63</v>
      </c>
      <c r="AV184">
        <v>1</v>
      </c>
      <c r="AW184">
        <v>1</v>
      </c>
      <c r="AZ184">
        <v>1</v>
      </c>
      <c r="BA184">
        <v>20.88</v>
      </c>
      <c r="BB184">
        <v>9.09</v>
      </c>
      <c r="BC184">
        <v>8.4700000000000006</v>
      </c>
      <c r="BD184" t="s">
        <v>3</v>
      </c>
      <c r="BE184" t="s">
        <v>3</v>
      </c>
      <c r="BF184" t="s">
        <v>3</v>
      </c>
      <c r="BG184" t="s">
        <v>3</v>
      </c>
      <c r="BH184">
        <v>0</v>
      </c>
      <c r="BI184">
        <v>1</v>
      </c>
      <c r="BJ184" t="s">
        <v>32</v>
      </c>
      <c r="BM184">
        <v>53001</v>
      </c>
      <c r="BN184">
        <v>0</v>
      </c>
      <c r="BO184" t="s">
        <v>29</v>
      </c>
      <c r="BP184">
        <v>1</v>
      </c>
      <c r="BQ184">
        <v>6</v>
      </c>
      <c r="BR184">
        <v>0</v>
      </c>
      <c r="BS184">
        <v>20.88</v>
      </c>
      <c r="BT184">
        <v>1</v>
      </c>
      <c r="BU184">
        <v>1</v>
      </c>
      <c r="BV184">
        <v>1</v>
      </c>
      <c r="BW184">
        <v>1</v>
      </c>
      <c r="BX184">
        <v>1</v>
      </c>
      <c r="BY184" t="s">
        <v>3</v>
      </c>
      <c r="BZ184">
        <v>86</v>
      </c>
      <c r="CA184">
        <v>70</v>
      </c>
      <c r="CF184">
        <v>0</v>
      </c>
      <c r="CG184">
        <v>0</v>
      </c>
      <c r="CM184">
        <v>0</v>
      </c>
      <c r="CN184" t="s">
        <v>3</v>
      </c>
      <c r="CO184">
        <v>0</v>
      </c>
      <c r="CP184">
        <f t="shared" si="203"/>
        <v>2079</v>
      </c>
      <c r="CQ184">
        <f t="shared" si="204"/>
        <v>77604.1728</v>
      </c>
      <c r="CR184">
        <f t="shared" si="205"/>
        <v>488.13300000000004</v>
      </c>
      <c r="CS184">
        <f t="shared" si="206"/>
        <v>88.322400000000002</v>
      </c>
      <c r="CT184">
        <f t="shared" si="207"/>
        <v>27951.011999999999</v>
      </c>
      <c r="CU184">
        <f t="shared" si="208"/>
        <v>0</v>
      </c>
      <c r="CV184">
        <f t="shared" si="209"/>
        <v>165.88</v>
      </c>
      <c r="CW184">
        <f t="shared" si="210"/>
        <v>0.47</v>
      </c>
      <c r="CX184">
        <f t="shared" si="211"/>
        <v>0</v>
      </c>
      <c r="CY184">
        <f t="shared" si="212"/>
        <v>330</v>
      </c>
      <c r="CZ184">
        <f t="shared" si="213"/>
        <v>346.5</v>
      </c>
      <c r="DC184" t="s">
        <v>3</v>
      </c>
      <c r="DD184" t="s">
        <v>3</v>
      </c>
      <c r="DE184" t="s">
        <v>3</v>
      </c>
      <c r="DF184" t="s">
        <v>3</v>
      </c>
      <c r="DG184" t="s">
        <v>3</v>
      </c>
      <c r="DH184" t="s">
        <v>3</v>
      </c>
      <c r="DI184" t="s">
        <v>3</v>
      </c>
      <c r="DJ184" t="s">
        <v>3</v>
      </c>
      <c r="DK184" t="s">
        <v>3</v>
      </c>
      <c r="DL184" t="s">
        <v>3</v>
      </c>
      <c r="DM184" t="s">
        <v>3</v>
      </c>
      <c r="DN184">
        <v>0</v>
      </c>
      <c r="DO184">
        <v>0</v>
      </c>
      <c r="DP184">
        <v>1</v>
      </c>
      <c r="DQ184">
        <v>1</v>
      </c>
      <c r="DU184">
        <v>1013</v>
      </c>
      <c r="DV184" t="s">
        <v>31</v>
      </c>
      <c r="DW184" t="s">
        <v>31</v>
      </c>
      <c r="DX184">
        <v>1</v>
      </c>
      <c r="EE184">
        <v>45269251</v>
      </c>
      <c r="EF184">
        <v>6</v>
      </c>
      <c r="EG184" t="s">
        <v>33</v>
      </c>
      <c r="EH184">
        <v>0</v>
      </c>
      <c r="EI184" t="s">
        <v>3</v>
      </c>
      <c r="EJ184">
        <v>1</v>
      </c>
      <c r="EK184">
        <v>53001</v>
      </c>
      <c r="EL184" t="s">
        <v>34</v>
      </c>
      <c r="EM184" t="s">
        <v>35</v>
      </c>
      <c r="EO184" t="s">
        <v>3</v>
      </c>
      <c r="EQ184">
        <v>0</v>
      </c>
      <c r="ER184">
        <v>10554.59</v>
      </c>
      <c r="ES184">
        <v>9162.24</v>
      </c>
      <c r="ET184">
        <v>53.7</v>
      </c>
      <c r="EU184">
        <v>4.2300000000000004</v>
      </c>
      <c r="EV184">
        <v>1338.65</v>
      </c>
      <c r="EW184">
        <v>165.88</v>
      </c>
      <c r="EX184">
        <v>0.47</v>
      </c>
      <c r="EY184">
        <v>0</v>
      </c>
      <c r="FQ184">
        <v>0</v>
      </c>
      <c r="FR184">
        <f t="shared" si="214"/>
        <v>0</v>
      </c>
      <c r="FS184">
        <v>0</v>
      </c>
      <c r="FT184" t="s">
        <v>36</v>
      </c>
      <c r="FU184" t="s">
        <v>37</v>
      </c>
      <c r="FX184">
        <v>60.2</v>
      </c>
      <c r="FY184">
        <v>63</v>
      </c>
      <c r="GA184" t="s">
        <v>3</v>
      </c>
      <c r="GD184">
        <v>0</v>
      </c>
      <c r="GF184">
        <v>-1501235591</v>
      </c>
      <c r="GG184">
        <v>2</v>
      </c>
      <c r="GH184">
        <v>1</v>
      </c>
      <c r="GI184">
        <v>2</v>
      </c>
      <c r="GJ184">
        <v>0</v>
      </c>
      <c r="GK184">
        <f>ROUND(R184*(R12)/100,0)</f>
        <v>0</v>
      </c>
      <c r="GL184">
        <f t="shared" si="215"/>
        <v>0</v>
      </c>
      <c r="GM184">
        <f t="shared" si="216"/>
        <v>2756</v>
      </c>
      <c r="GN184">
        <f t="shared" si="217"/>
        <v>2756</v>
      </c>
      <c r="GO184">
        <f t="shared" si="218"/>
        <v>0</v>
      </c>
      <c r="GP184">
        <f t="shared" si="219"/>
        <v>0</v>
      </c>
      <c r="GR184">
        <v>0</v>
      </c>
      <c r="GS184">
        <v>3</v>
      </c>
      <c r="GT184">
        <v>0</v>
      </c>
      <c r="GU184" t="s">
        <v>3</v>
      </c>
      <c r="GV184">
        <f t="shared" si="220"/>
        <v>0</v>
      </c>
      <c r="GW184">
        <v>1</v>
      </c>
      <c r="GX184">
        <f t="shared" si="221"/>
        <v>0</v>
      </c>
      <c r="HA184">
        <v>0</v>
      </c>
      <c r="HB184">
        <v>0</v>
      </c>
      <c r="IK184">
        <v>0</v>
      </c>
    </row>
    <row r="185" spans="1:245">
      <c r="A185">
        <v>17</v>
      </c>
      <c r="B185">
        <v>1</v>
      </c>
      <c r="C185">
        <f>ROW(SmtRes!A454)</f>
        <v>454</v>
      </c>
      <c r="D185">
        <f>ROW(EtalonRes!A456)</f>
        <v>456</v>
      </c>
      <c r="E185" t="s">
        <v>414</v>
      </c>
      <c r="F185" t="s">
        <v>415</v>
      </c>
      <c r="G185" t="s">
        <v>416</v>
      </c>
      <c r="H185" t="s">
        <v>17</v>
      </c>
      <c r="I185">
        <v>0.3</v>
      </c>
      <c r="J185">
        <v>0</v>
      </c>
      <c r="O185">
        <f t="shared" si="188"/>
        <v>2104</v>
      </c>
      <c r="P185">
        <f t="shared" si="189"/>
        <v>1402</v>
      </c>
      <c r="Q185">
        <f t="shared" si="190"/>
        <v>3</v>
      </c>
      <c r="R185">
        <f t="shared" si="191"/>
        <v>0</v>
      </c>
      <c r="S185">
        <f t="shared" si="192"/>
        <v>699</v>
      </c>
      <c r="T185">
        <f t="shared" si="193"/>
        <v>0</v>
      </c>
      <c r="U185">
        <f t="shared" si="194"/>
        <v>4.3890000000000002</v>
      </c>
      <c r="V185">
        <f t="shared" si="195"/>
        <v>0</v>
      </c>
      <c r="W185">
        <f t="shared" si="196"/>
        <v>0</v>
      </c>
      <c r="X185">
        <f t="shared" si="197"/>
        <v>482</v>
      </c>
      <c r="Y185">
        <f t="shared" si="198"/>
        <v>377</v>
      </c>
      <c r="AA185">
        <v>48370320</v>
      </c>
      <c r="AB185">
        <f t="shared" si="199"/>
        <v>507.76</v>
      </c>
      <c r="AC185">
        <f t="shared" si="200"/>
        <v>393.92</v>
      </c>
      <c r="AD185">
        <f>ROUND((((ET185)-(EU185))+AE185),2)</f>
        <v>2.21</v>
      </c>
      <c r="AE185">
        <f t="shared" si="224"/>
        <v>0</v>
      </c>
      <c r="AF185">
        <f t="shared" si="224"/>
        <v>111.63</v>
      </c>
      <c r="AG185">
        <f t="shared" si="201"/>
        <v>0</v>
      </c>
      <c r="AH185">
        <f t="shared" si="225"/>
        <v>14.63</v>
      </c>
      <c r="AI185">
        <f t="shared" si="225"/>
        <v>0</v>
      </c>
      <c r="AJ185">
        <f t="shared" si="202"/>
        <v>0</v>
      </c>
      <c r="AK185">
        <v>507.76</v>
      </c>
      <c r="AL185">
        <v>393.92</v>
      </c>
      <c r="AM185">
        <v>2.21</v>
      </c>
      <c r="AN185">
        <v>0</v>
      </c>
      <c r="AO185">
        <v>111.63</v>
      </c>
      <c r="AP185">
        <v>0</v>
      </c>
      <c r="AQ185">
        <v>14.63</v>
      </c>
      <c r="AR185">
        <v>0</v>
      </c>
      <c r="AS185">
        <v>0</v>
      </c>
      <c r="AT185">
        <v>69</v>
      </c>
      <c r="AU185">
        <v>54</v>
      </c>
      <c r="AV185">
        <v>1</v>
      </c>
      <c r="AW185">
        <v>1</v>
      </c>
      <c r="AZ185">
        <v>1</v>
      </c>
      <c r="BA185">
        <v>20.88</v>
      </c>
      <c r="BB185">
        <v>4.05</v>
      </c>
      <c r="BC185">
        <v>11.86</v>
      </c>
      <c r="BD185" t="s">
        <v>3</v>
      </c>
      <c r="BE185" t="s">
        <v>3</v>
      </c>
      <c r="BF185" t="s">
        <v>3</v>
      </c>
      <c r="BG185" t="s">
        <v>3</v>
      </c>
      <c r="BH185">
        <v>0</v>
      </c>
      <c r="BI185">
        <v>1</v>
      </c>
      <c r="BJ185" t="s">
        <v>417</v>
      </c>
      <c r="BM185">
        <v>46001</v>
      </c>
      <c r="BN185">
        <v>0</v>
      </c>
      <c r="BO185" t="s">
        <v>415</v>
      </c>
      <c r="BP185">
        <v>1</v>
      </c>
      <c r="BQ185">
        <v>2</v>
      </c>
      <c r="BR185">
        <v>0</v>
      </c>
      <c r="BS185">
        <v>20.88</v>
      </c>
      <c r="BT185">
        <v>1</v>
      </c>
      <c r="BU185">
        <v>1</v>
      </c>
      <c r="BV185">
        <v>1</v>
      </c>
      <c r="BW185">
        <v>1</v>
      </c>
      <c r="BX185">
        <v>1</v>
      </c>
      <c r="BY185" t="s">
        <v>3</v>
      </c>
      <c r="BZ185">
        <v>110</v>
      </c>
      <c r="CA185">
        <v>70</v>
      </c>
      <c r="CF185">
        <v>0</v>
      </c>
      <c r="CG185">
        <v>0</v>
      </c>
      <c r="CM185">
        <v>0</v>
      </c>
      <c r="CN185" t="s">
        <v>3</v>
      </c>
      <c r="CO185">
        <v>0</v>
      </c>
      <c r="CP185">
        <f t="shared" si="203"/>
        <v>2104</v>
      </c>
      <c r="CQ185">
        <f t="shared" si="204"/>
        <v>4671.8912</v>
      </c>
      <c r="CR185">
        <f t="shared" si="205"/>
        <v>8.9504999999999999</v>
      </c>
      <c r="CS185">
        <f t="shared" si="206"/>
        <v>0</v>
      </c>
      <c r="CT185">
        <f t="shared" si="207"/>
        <v>2330.8343999999997</v>
      </c>
      <c r="CU185">
        <f t="shared" si="208"/>
        <v>0</v>
      </c>
      <c r="CV185">
        <f t="shared" si="209"/>
        <v>14.63</v>
      </c>
      <c r="CW185">
        <f t="shared" si="210"/>
        <v>0</v>
      </c>
      <c r="CX185">
        <f t="shared" si="211"/>
        <v>0</v>
      </c>
      <c r="CY185">
        <f t="shared" si="212"/>
        <v>482.31</v>
      </c>
      <c r="CZ185">
        <f t="shared" si="213"/>
        <v>377.46</v>
      </c>
      <c r="DC185" t="s">
        <v>3</v>
      </c>
      <c r="DD185" t="s">
        <v>3</v>
      </c>
      <c r="DE185" t="s">
        <v>3</v>
      </c>
      <c r="DF185" t="s">
        <v>3</v>
      </c>
      <c r="DG185" t="s">
        <v>3</v>
      </c>
      <c r="DH185" t="s">
        <v>3</v>
      </c>
      <c r="DI185" t="s">
        <v>3</v>
      </c>
      <c r="DJ185" t="s">
        <v>3</v>
      </c>
      <c r="DK185" t="s">
        <v>3</v>
      </c>
      <c r="DL185" t="s">
        <v>3</v>
      </c>
      <c r="DM185" t="s">
        <v>3</v>
      </c>
      <c r="DN185">
        <v>0</v>
      </c>
      <c r="DO185">
        <v>0</v>
      </c>
      <c r="DP185">
        <v>1</v>
      </c>
      <c r="DQ185">
        <v>1</v>
      </c>
      <c r="DU185">
        <v>1013</v>
      </c>
      <c r="DV185" t="s">
        <v>17</v>
      </c>
      <c r="DW185" t="s">
        <v>17</v>
      </c>
      <c r="DX185">
        <v>1</v>
      </c>
      <c r="EE185">
        <v>45269244</v>
      </c>
      <c r="EF185">
        <v>2</v>
      </c>
      <c r="EG185" t="s">
        <v>19</v>
      </c>
      <c r="EH185">
        <v>0</v>
      </c>
      <c r="EI185" t="s">
        <v>3</v>
      </c>
      <c r="EJ185">
        <v>1</v>
      </c>
      <c r="EK185">
        <v>46001</v>
      </c>
      <c r="EL185" t="s">
        <v>20</v>
      </c>
      <c r="EM185" t="s">
        <v>21</v>
      </c>
      <c r="EO185" t="s">
        <v>3</v>
      </c>
      <c r="EQ185">
        <v>0</v>
      </c>
      <c r="ER185">
        <v>507.76</v>
      </c>
      <c r="ES185">
        <v>393.92</v>
      </c>
      <c r="ET185">
        <v>2.21</v>
      </c>
      <c r="EU185">
        <v>0</v>
      </c>
      <c r="EV185">
        <v>111.63</v>
      </c>
      <c r="EW185">
        <v>14.63</v>
      </c>
      <c r="EX185">
        <v>0</v>
      </c>
      <c r="EY185">
        <v>0</v>
      </c>
      <c r="FQ185">
        <v>0</v>
      </c>
      <c r="FR185">
        <f t="shared" si="214"/>
        <v>0</v>
      </c>
      <c r="FS185">
        <v>0</v>
      </c>
      <c r="FT185" t="s">
        <v>22</v>
      </c>
      <c r="FU185" t="s">
        <v>23</v>
      </c>
      <c r="FX185">
        <v>69.3</v>
      </c>
      <c r="FY185">
        <v>53.55</v>
      </c>
      <c r="GA185" t="s">
        <v>3</v>
      </c>
      <c r="GD185">
        <v>0</v>
      </c>
      <c r="GF185">
        <v>-1902075475</v>
      </c>
      <c r="GG185">
        <v>2</v>
      </c>
      <c r="GH185">
        <v>1</v>
      </c>
      <c r="GI185">
        <v>2</v>
      </c>
      <c r="GJ185">
        <v>0</v>
      </c>
      <c r="GK185">
        <f>ROUND(R185*(R12)/100,0)</f>
        <v>0</v>
      </c>
      <c r="GL185">
        <f t="shared" si="215"/>
        <v>0</v>
      </c>
      <c r="GM185">
        <f t="shared" si="216"/>
        <v>2963</v>
      </c>
      <c r="GN185">
        <f t="shared" si="217"/>
        <v>2963</v>
      </c>
      <c r="GO185">
        <f t="shared" si="218"/>
        <v>0</v>
      </c>
      <c r="GP185">
        <f t="shared" si="219"/>
        <v>0</v>
      </c>
      <c r="GR185">
        <v>0</v>
      </c>
      <c r="GS185">
        <v>3</v>
      </c>
      <c r="GT185">
        <v>0</v>
      </c>
      <c r="GU185" t="s">
        <v>3</v>
      </c>
      <c r="GV185">
        <f t="shared" si="220"/>
        <v>0</v>
      </c>
      <c r="GW185">
        <v>1</v>
      </c>
      <c r="GX185">
        <f t="shared" si="221"/>
        <v>0</v>
      </c>
      <c r="HA185">
        <v>0</v>
      </c>
      <c r="HB185">
        <v>0</v>
      </c>
      <c r="IK185">
        <v>0</v>
      </c>
    </row>
    <row r="186" spans="1:245">
      <c r="A186">
        <v>17</v>
      </c>
      <c r="B186">
        <v>1</v>
      </c>
      <c r="C186">
        <f>ROW(SmtRes!A462)</f>
        <v>462</v>
      </c>
      <c r="D186">
        <f>ROW(EtalonRes!A464)</f>
        <v>464</v>
      </c>
      <c r="E186" t="s">
        <v>418</v>
      </c>
      <c r="F186" t="s">
        <v>419</v>
      </c>
      <c r="G186" t="s">
        <v>420</v>
      </c>
      <c r="H186" t="s">
        <v>180</v>
      </c>
      <c r="I186">
        <f>ROUND(0.6/100,9)</f>
        <v>6.0000000000000001E-3</v>
      </c>
      <c r="J186">
        <v>0</v>
      </c>
      <c r="O186">
        <f t="shared" si="188"/>
        <v>165</v>
      </c>
      <c r="P186">
        <f t="shared" si="189"/>
        <v>44</v>
      </c>
      <c r="Q186">
        <f t="shared" si="190"/>
        <v>12</v>
      </c>
      <c r="R186">
        <f t="shared" si="191"/>
        <v>8</v>
      </c>
      <c r="S186">
        <f t="shared" si="192"/>
        <v>109</v>
      </c>
      <c r="T186">
        <f t="shared" si="193"/>
        <v>0</v>
      </c>
      <c r="U186">
        <f t="shared" si="194"/>
        <v>0.59229599999999993</v>
      </c>
      <c r="V186">
        <f t="shared" si="195"/>
        <v>4.7175000000000002E-2</v>
      </c>
      <c r="W186">
        <f t="shared" si="196"/>
        <v>0</v>
      </c>
      <c r="X186">
        <f t="shared" si="197"/>
        <v>77</v>
      </c>
      <c r="Y186">
        <f t="shared" si="198"/>
        <v>49</v>
      </c>
      <c r="AA186">
        <v>48370320</v>
      </c>
      <c r="AB186">
        <f t="shared" si="199"/>
        <v>1910</v>
      </c>
      <c r="AC186">
        <f t="shared" si="200"/>
        <v>908.11</v>
      </c>
      <c r="AD186">
        <f>ROUND(((((ET186*1.25))-((EU186*1.25)))+AE186),2)</f>
        <v>134.18</v>
      </c>
      <c r="AE186">
        <f>ROUND(((EU186*1.25)),2)</f>
        <v>67.23</v>
      </c>
      <c r="AF186">
        <f>ROUND(((EV186*1.15)),2)</f>
        <v>867.71</v>
      </c>
      <c r="AG186">
        <f t="shared" si="201"/>
        <v>0</v>
      </c>
      <c r="AH186">
        <f>((EW186*1.15))</f>
        <v>98.715999999999994</v>
      </c>
      <c r="AI186">
        <f>((EX186*1.25))</f>
        <v>7.8624999999999998</v>
      </c>
      <c r="AJ186">
        <f t="shared" si="202"/>
        <v>0</v>
      </c>
      <c r="AK186">
        <v>1769.98</v>
      </c>
      <c r="AL186">
        <v>908.11</v>
      </c>
      <c r="AM186">
        <v>107.34</v>
      </c>
      <c r="AN186">
        <v>53.78</v>
      </c>
      <c r="AO186">
        <v>754.53</v>
      </c>
      <c r="AP186">
        <v>0</v>
      </c>
      <c r="AQ186">
        <v>85.84</v>
      </c>
      <c r="AR186">
        <v>6.29</v>
      </c>
      <c r="AS186">
        <v>0</v>
      </c>
      <c r="AT186">
        <v>66</v>
      </c>
      <c r="AU186">
        <v>42</v>
      </c>
      <c r="AV186">
        <v>1</v>
      </c>
      <c r="AW186">
        <v>1</v>
      </c>
      <c r="AZ186">
        <v>1</v>
      </c>
      <c r="BA186">
        <v>20.88</v>
      </c>
      <c r="BB186">
        <v>14.32</v>
      </c>
      <c r="BC186">
        <v>8.1300000000000008</v>
      </c>
      <c r="BD186" t="s">
        <v>3</v>
      </c>
      <c r="BE186" t="s">
        <v>3</v>
      </c>
      <c r="BF186" t="s">
        <v>3</v>
      </c>
      <c r="BG186" t="s">
        <v>3</v>
      </c>
      <c r="BH186">
        <v>0</v>
      </c>
      <c r="BI186">
        <v>1</v>
      </c>
      <c r="BJ186" t="s">
        <v>421</v>
      </c>
      <c r="BM186">
        <v>15001</v>
      </c>
      <c r="BN186">
        <v>0</v>
      </c>
      <c r="BO186" t="s">
        <v>419</v>
      </c>
      <c r="BP186">
        <v>1</v>
      </c>
      <c r="BQ186">
        <v>2</v>
      </c>
      <c r="BR186">
        <v>0</v>
      </c>
      <c r="BS186">
        <v>20.88</v>
      </c>
      <c r="BT186">
        <v>1</v>
      </c>
      <c r="BU186">
        <v>1</v>
      </c>
      <c r="BV186">
        <v>1</v>
      </c>
      <c r="BW186">
        <v>1</v>
      </c>
      <c r="BX186">
        <v>1</v>
      </c>
      <c r="BY186" t="s">
        <v>3</v>
      </c>
      <c r="BZ186">
        <v>105</v>
      </c>
      <c r="CA186">
        <v>55</v>
      </c>
      <c r="CF186">
        <v>0</v>
      </c>
      <c r="CG186">
        <v>0</v>
      </c>
      <c r="CM186">
        <v>0</v>
      </c>
      <c r="CN186" t="s">
        <v>937</v>
      </c>
      <c r="CO186">
        <v>0</v>
      </c>
      <c r="CP186">
        <f t="shared" si="203"/>
        <v>165</v>
      </c>
      <c r="CQ186">
        <f t="shared" si="204"/>
        <v>7382.9343000000008</v>
      </c>
      <c r="CR186">
        <f t="shared" si="205"/>
        <v>1921.4576000000002</v>
      </c>
      <c r="CS186">
        <f t="shared" si="206"/>
        <v>1403.7624000000001</v>
      </c>
      <c r="CT186">
        <f t="shared" si="207"/>
        <v>18117.784800000001</v>
      </c>
      <c r="CU186">
        <f t="shared" si="208"/>
        <v>0</v>
      </c>
      <c r="CV186">
        <f t="shared" si="209"/>
        <v>98.715999999999994</v>
      </c>
      <c r="CW186">
        <f t="shared" si="210"/>
        <v>7.8624999999999998</v>
      </c>
      <c r="CX186">
        <f t="shared" si="211"/>
        <v>0</v>
      </c>
      <c r="CY186">
        <f t="shared" si="212"/>
        <v>77.22</v>
      </c>
      <c r="CZ186">
        <f t="shared" si="213"/>
        <v>49.14</v>
      </c>
      <c r="DC186" t="s">
        <v>3</v>
      </c>
      <c r="DD186" t="s">
        <v>3</v>
      </c>
      <c r="DE186" t="s">
        <v>160</v>
      </c>
      <c r="DF186" t="s">
        <v>160</v>
      </c>
      <c r="DG186" t="s">
        <v>161</v>
      </c>
      <c r="DH186" t="s">
        <v>3</v>
      </c>
      <c r="DI186" t="s">
        <v>161</v>
      </c>
      <c r="DJ186" t="s">
        <v>160</v>
      </c>
      <c r="DK186" t="s">
        <v>3</v>
      </c>
      <c r="DL186" t="s">
        <v>3</v>
      </c>
      <c r="DM186" t="s">
        <v>3</v>
      </c>
      <c r="DN186">
        <v>0</v>
      </c>
      <c r="DO186">
        <v>0</v>
      </c>
      <c r="DP186">
        <v>1</v>
      </c>
      <c r="DQ186">
        <v>1</v>
      </c>
      <c r="DU186">
        <v>1013</v>
      </c>
      <c r="DV186" t="s">
        <v>180</v>
      </c>
      <c r="DW186" t="s">
        <v>180</v>
      </c>
      <c r="DX186">
        <v>1</v>
      </c>
      <c r="EE186">
        <v>45269202</v>
      </c>
      <c r="EF186">
        <v>2</v>
      </c>
      <c r="EG186" t="s">
        <v>19</v>
      </c>
      <c r="EH186">
        <v>0</v>
      </c>
      <c r="EI186" t="s">
        <v>3</v>
      </c>
      <c r="EJ186">
        <v>1</v>
      </c>
      <c r="EK186">
        <v>15001</v>
      </c>
      <c r="EL186" t="s">
        <v>157</v>
      </c>
      <c r="EM186" t="s">
        <v>168</v>
      </c>
      <c r="EO186" t="s">
        <v>162</v>
      </c>
      <c r="EQ186">
        <v>0</v>
      </c>
      <c r="ER186">
        <v>1769.98</v>
      </c>
      <c r="ES186">
        <v>908.11</v>
      </c>
      <c r="ET186">
        <v>107.34</v>
      </c>
      <c r="EU186">
        <v>53.78</v>
      </c>
      <c r="EV186">
        <v>754.53</v>
      </c>
      <c r="EW186">
        <v>85.84</v>
      </c>
      <c r="EX186">
        <v>6.29</v>
      </c>
      <c r="EY186">
        <v>0</v>
      </c>
      <c r="FQ186">
        <v>0</v>
      </c>
      <c r="FR186">
        <f t="shared" si="214"/>
        <v>0</v>
      </c>
      <c r="FS186">
        <v>0</v>
      </c>
      <c r="FT186" t="s">
        <v>22</v>
      </c>
      <c r="FU186" t="s">
        <v>23</v>
      </c>
      <c r="FX186">
        <v>66.150000000000006</v>
      </c>
      <c r="FY186">
        <v>42.075000000000003</v>
      </c>
      <c r="GA186" t="s">
        <v>3</v>
      </c>
      <c r="GD186">
        <v>0</v>
      </c>
      <c r="GF186">
        <v>318706202</v>
      </c>
      <c r="GG186">
        <v>2</v>
      </c>
      <c r="GH186">
        <v>1</v>
      </c>
      <c r="GI186">
        <v>2</v>
      </c>
      <c r="GJ186">
        <v>0</v>
      </c>
      <c r="GK186">
        <f>ROUND(R186*(R12)/100,0)</f>
        <v>0</v>
      </c>
      <c r="GL186">
        <f t="shared" si="215"/>
        <v>0</v>
      </c>
      <c r="GM186">
        <f t="shared" si="216"/>
        <v>291</v>
      </c>
      <c r="GN186">
        <f t="shared" si="217"/>
        <v>291</v>
      </c>
      <c r="GO186">
        <f t="shared" si="218"/>
        <v>0</v>
      </c>
      <c r="GP186">
        <f t="shared" si="219"/>
        <v>0</v>
      </c>
      <c r="GR186">
        <v>0</v>
      </c>
      <c r="GS186">
        <v>3</v>
      </c>
      <c r="GT186">
        <v>0</v>
      </c>
      <c r="GU186" t="s">
        <v>3</v>
      </c>
      <c r="GV186">
        <f t="shared" si="220"/>
        <v>0</v>
      </c>
      <c r="GW186">
        <v>1</v>
      </c>
      <c r="GX186">
        <f t="shared" si="221"/>
        <v>0</v>
      </c>
      <c r="HA186">
        <v>0</v>
      </c>
      <c r="HB186">
        <v>0</v>
      </c>
      <c r="IK186">
        <v>0</v>
      </c>
    </row>
    <row r="187" spans="1:245">
      <c r="A187">
        <v>17</v>
      </c>
      <c r="B187">
        <v>1</v>
      </c>
      <c r="C187">
        <f>ROW(SmtRes!A468)</f>
        <v>468</v>
      </c>
      <c r="D187">
        <f>ROW(EtalonRes!A470)</f>
        <v>470</v>
      </c>
      <c r="E187" t="s">
        <v>422</v>
      </c>
      <c r="F187" t="s">
        <v>339</v>
      </c>
      <c r="G187" t="s">
        <v>340</v>
      </c>
      <c r="H187" t="s">
        <v>341</v>
      </c>
      <c r="I187">
        <f>ROUND(0.72/100,9)</f>
        <v>7.1999999999999998E-3</v>
      </c>
      <c r="J187">
        <v>0</v>
      </c>
      <c r="O187">
        <f t="shared" si="188"/>
        <v>110</v>
      </c>
      <c r="P187">
        <f t="shared" si="189"/>
        <v>55</v>
      </c>
      <c r="Q187">
        <f t="shared" si="190"/>
        <v>4</v>
      </c>
      <c r="R187">
        <f t="shared" si="191"/>
        <v>3</v>
      </c>
      <c r="S187">
        <f t="shared" si="192"/>
        <v>51</v>
      </c>
      <c r="T187">
        <f t="shared" si="193"/>
        <v>0</v>
      </c>
      <c r="U187">
        <f t="shared" si="194"/>
        <v>0.32714279999999996</v>
      </c>
      <c r="V187">
        <f t="shared" si="195"/>
        <v>1.1429999999999999E-2</v>
      </c>
      <c r="W187">
        <f t="shared" si="196"/>
        <v>0</v>
      </c>
      <c r="X187">
        <f t="shared" si="197"/>
        <v>42</v>
      </c>
      <c r="Y187">
        <f t="shared" si="198"/>
        <v>31</v>
      </c>
      <c r="AA187">
        <v>48370320</v>
      </c>
      <c r="AB187">
        <f t="shared" si="199"/>
        <v>1367.56</v>
      </c>
      <c r="AC187">
        <f t="shared" si="200"/>
        <v>971.55</v>
      </c>
      <c r="AD187">
        <f>ROUND(((((ET187*1.25))-((EU187*1.25)))+AE187),2)</f>
        <v>58.42</v>
      </c>
      <c r="AE187">
        <f>ROUND(((EU187*1.25)),2)</f>
        <v>19.21</v>
      </c>
      <c r="AF187">
        <f>ROUND(((EV187*1.15)),2)</f>
        <v>337.59</v>
      </c>
      <c r="AG187">
        <f t="shared" si="201"/>
        <v>0</v>
      </c>
      <c r="AH187">
        <f>((EW187*1.15))</f>
        <v>45.436499999999995</v>
      </c>
      <c r="AI187">
        <f>((EX187*1.25))</f>
        <v>1.5874999999999999</v>
      </c>
      <c r="AJ187">
        <f t="shared" si="202"/>
        <v>0</v>
      </c>
      <c r="AK187">
        <v>1311.85</v>
      </c>
      <c r="AL187">
        <v>971.55</v>
      </c>
      <c r="AM187">
        <v>46.74</v>
      </c>
      <c r="AN187">
        <v>15.37</v>
      </c>
      <c r="AO187">
        <v>293.56</v>
      </c>
      <c r="AP187">
        <v>0</v>
      </c>
      <c r="AQ187">
        <v>39.51</v>
      </c>
      <c r="AR187">
        <v>1.27</v>
      </c>
      <c r="AS187">
        <v>0</v>
      </c>
      <c r="AT187">
        <v>77</v>
      </c>
      <c r="AU187">
        <v>57</v>
      </c>
      <c r="AV187">
        <v>1</v>
      </c>
      <c r="AW187">
        <v>1</v>
      </c>
      <c r="AZ187">
        <v>1</v>
      </c>
      <c r="BA187">
        <v>20.88</v>
      </c>
      <c r="BB187">
        <v>9.51</v>
      </c>
      <c r="BC187">
        <v>7.84</v>
      </c>
      <c r="BD187" t="s">
        <v>3</v>
      </c>
      <c r="BE187" t="s">
        <v>3</v>
      </c>
      <c r="BF187" t="s">
        <v>3</v>
      </c>
      <c r="BG187" t="s">
        <v>3</v>
      </c>
      <c r="BH187">
        <v>0</v>
      </c>
      <c r="BI187">
        <v>1</v>
      </c>
      <c r="BJ187" t="s">
        <v>342</v>
      </c>
      <c r="BM187">
        <v>11001</v>
      </c>
      <c r="BN187">
        <v>0</v>
      </c>
      <c r="BO187" t="s">
        <v>339</v>
      </c>
      <c r="BP187">
        <v>1</v>
      </c>
      <c r="BQ187">
        <v>2</v>
      </c>
      <c r="BR187">
        <v>0</v>
      </c>
      <c r="BS187">
        <v>20.88</v>
      </c>
      <c r="BT187">
        <v>1</v>
      </c>
      <c r="BU187">
        <v>1</v>
      </c>
      <c r="BV187">
        <v>1</v>
      </c>
      <c r="BW187">
        <v>1</v>
      </c>
      <c r="BX187">
        <v>1</v>
      </c>
      <c r="BY187" t="s">
        <v>3</v>
      </c>
      <c r="BZ187">
        <v>123</v>
      </c>
      <c r="CA187">
        <v>75</v>
      </c>
      <c r="CF187">
        <v>0</v>
      </c>
      <c r="CG187">
        <v>0</v>
      </c>
      <c r="CM187">
        <v>0</v>
      </c>
      <c r="CN187" t="s">
        <v>937</v>
      </c>
      <c r="CO187">
        <v>0</v>
      </c>
      <c r="CP187">
        <f t="shared" si="203"/>
        <v>110</v>
      </c>
      <c r="CQ187">
        <f t="shared" si="204"/>
        <v>7616.9519999999993</v>
      </c>
      <c r="CR187">
        <f t="shared" si="205"/>
        <v>555.57420000000002</v>
      </c>
      <c r="CS187">
        <f t="shared" si="206"/>
        <v>401.10480000000001</v>
      </c>
      <c r="CT187">
        <f t="shared" si="207"/>
        <v>7048.8791999999994</v>
      </c>
      <c r="CU187">
        <f t="shared" si="208"/>
        <v>0</v>
      </c>
      <c r="CV187">
        <f t="shared" si="209"/>
        <v>45.436499999999995</v>
      </c>
      <c r="CW187">
        <f t="shared" si="210"/>
        <v>1.5874999999999999</v>
      </c>
      <c r="CX187">
        <f t="shared" si="211"/>
        <v>0</v>
      </c>
      <c r="CY187">
        <f t="shared" si="212"/>
        <v>41.58</v>
      </c>
      <c r="CZ187">
        <f t="shared" si="213"/>
        <v>30.78</v>
      </c>
      <c r="DC187" t="s">
        <v>3</v>
      </c>
      <c r="DD187" t="s">
        <v>3</v>
      </c>
      <c r="DE187" t="s">
        <v>160</v>
      </c>
      <c r="DF187" t="s">
        <v>160</v>
      </c>
      <c r="DG187" t="s">
        <v>161</v>
      </c>
      <c r="DH187" t="s">
        <v>3</v>
      </c>
      <c r="DI187" t="s">
        <v>161</v>
      </c>
      <c r="DJ187" t="s">
        <v>160</v>
      </c>
      <c r="DK187" t="s">
        <v>3</v>
      </c>
      <c r="DL187" t="s">
        <v>3</v>
      </c>
      <c r="DM187" t="s">
        <v>3</v>
      </c>
      <c r="DN187">
        <v>0</v>
      </c>
      <c r="DO187">
        <v>0</v>
      </c>
      <c r="DP187">
        <v>1</v>
      </c>
      <c r="DQ187">
        <v>1</v>
      </c>
      <c r="DU187">
        <v>1013</v>
      </c>
      <c r="DV187" t="s">
        <v>341</v>
      </c>
      <c r="DW187" t="s">
        <v>341</v>
      </c>
      <c r="DX187">
        <v>1</v>
      </c>
      <c r="EE187">
        <v>45269177</v>
      </c>
      <c r="EF187">
        <v>2</v>
      </c>
      <c r="EG187" t="s">
        <v>19</v>
      </c>
      <c r="EH187">
        <v>0</v>
      </c>
      <c r="EI187" t="s">
        <v>3</v>
      </c>
      <c r="EJ187">
        <v>1</v>
      </c>
      <c r="EK187">
        <v>11001</v>
      </c>
      <c r="EL187" t="s">
        <v>50</v>
      </c>
      <c r="EM187" t="s">
        <v>199</v>
      </c>
      <c r="EO187" t="s">
        <v>162</v>
      </c>
      <c r="EQ187">
        <v>0</v>
      </c>
      <c r="ER187">
        <v>1311.85</v>
      </c>
      <c r="ES187">
        <v>971.55</v>
      </c>
      <c r="ET187">
        <v>46.74</v>
      </c>
      <c r="EU187">
        <v>15.37</v>
      </c>
      <c r="EV187">
        <v>293.56</v>
      </c>
      <c r="EW187">
        <v>39.51</v>
      </c>
      <c r="EX187">
        <v>1.27</v>
      </c>
      <c r="EY187">
        <v>0</v>
      </c>
      <c r="FQ187">
        <v>0</v>
      </c>
      <c r="FR187">
        <f t="shared" si="214"/>
        <v>0</v>
      </c>
      <c r="FS187">
        <v>0</v>
      </c>
      <c r="FT187" t="s">
        <v>22</v>
      </c>
      <c r="FU187" t="s">
        <v>23</v>
      </c>
      <c r="FX187">
        <v>77.489999999999995</v>
      </c>
      <c r="FY187">
        <v>57.375</v>
      </c>
      <c r="GA187" t="s">
        <v>3</v>
      </c>
      <c r="GD187">
        <v>0</v>
      </c>
      <c r="GF187">
        <v>-1125615314</v>
      </c>
      <c r="GG187">
        <v>2</v>
      </c>
      <c r="GH187">
        <v>1</v>
      </c>
      <c r="GI187">
        <v>2</v>
      </c>
      <c r="GJ187">
        <v>0</v>
      </c>
      <c r="GK187">
        <f>ROUND(R187*(R12)/100,0)</f>
        <v>0</v>
      </c>
      <c r="GL187">
        <f t="shared" si="215"/>
        <v>0</v>
      </c>
      <c r="GM187">
        <f t="shared" si="216"/>
        <v>183</v>
      </c>
      <c r="GN187">
        <f t="shared" si="217"/>
        <v>183</v>
      </c>
      <c r="GO187">
        <f t="shared" si="218"/>
        <v>0</v>
      </c>
      <c r="GP187">
        <f t="shared" si="219"/>
        <v>0</v>
      </c>
      <c r="GR187">
        <v>0</v>
      </c>
      <c r="GS187">
        <v>3</v>
      </c>
      <c r="GT187">
        <v>0</v>
      </c>
      <c r="GU187" t="s">
        <v>3</v>
      </c>
      <c r="GV187">
        <f t="shared" si="220"/>
        <v>0</v>
      </c>
      <c r="GW187">
        <v>1</v>
      </c>
      <c r="GX187">
        <f t="shared" si="221"/>
        <v>0</v>
      </c>
      <c r="HA187">
        <v>0</v>
      </c>
      <c r="HB187">
        <v>0</v>
      </c>
      <c r="IK187">
        <v>0</v>
      </c>
    </row>
    <row r="188" spans="1:245">
      <c r="A188">
        <v>17</v>
      </c>
      <c r="B188">
        <v>1</v>
      </c>
      <c r="C188">
        <f>ROW(SmtRes!A481)</f>
        <v>481</v>
      </c>
      <c r="D188">
        <f>ROW(EtalonRes!A483)</f>
        <v>483</v>
      </c>
      <c r="E188" t="s">
        <v>423</v>
      </c>
      <c r="F188" t="s">
        <v>196</v>
      </c>
      <c r="G188" t="s">
        <v>197</v>
      </c>
      <c r="H188" t="s">
        <v>48</v>
      </c>
      <c r="I188">
        <f>ROUND(0.72/100,9)</f>
        <v>7.1999999999999998E-3</v>
      </c>
      <c r="J188">
        <v>0</v>
      </c>
      <c r="O188">
        <f t="shared" si="188"/>
        <v>884</v>
      </c>
      <c r="P188">
        <f t="shared" si="189"/>
        <v>443</v>
      </c>
      <c r="Q188">
        <f t="shared" si="190"/>
        <v>3</v>
      </c>
      <c r="R188">
        <f t="shared" si="191"/>
        <v>3</v>
      </c>
      <c r="S188">
        <f t="shared" si="192"/>
        <v>438</v>
      </c>
      <c r="T188">
        <f t="shared" si="193"/>
        <v>0</v>
      </c>
      <c r="U188">
        <f t="shared" si="194"/>
        <v>2.5702775999999998</v>
      </c>
      <c r="V188">
        <f t="shared" si="195"/>
        <v>1.5479999999999999E-2</v>
      </c>
      <c r="W188">
        <f t="shared" si="196"/>
        <v>0</v>
      </c>
      <c r="X188">
        <f t="shared" si="197"/>
        <v>340</v>
      </c>
      <c r="Y188">
        <f t="shared" si="198"/>
        <v>251</v>
      </c>
      <c r="AA188">
        <v>48370320</v>
      </c>
      <c r="AB188">
        <f t="shared" si="199"/>
        <v>22063.29</v>
      </c>
      <c r="AC188">
        <f t="shared" si="200"/>
        <v>19117.169999999998</v>
      </c>
      <c r="AD188">
        <f>ROUND(((((ET188*1.25))-((EU188*1.25)))+AE188),2)</f>
        <v>29.57</v>
      </c>
      <c r="AE188">
        <f>ROUND(((EU188*1.25)),2)</f>
        <v>19.440000000000001</v>
      </c>
      <c r="AF188">
        <f>ROUND(((EV188*1.15)),2)</f>
        <v>2916.55</v>
      </c>
      <c r="AG188">
        <f t="shared" si="201"/>
        <v>0</v>
      </c>
      <c r="AH188">
        <f>((EW188*1.15))</f>
        <v>356.983</v>
      </c>
      <c r="AI188">
        <f>((EX188*1.25))</f>
        <v>2.15</v>
      </c>
      <c r="AJ188">
        <f t="shared" si="202"/>
        <v>0</v>
      </c>
      <c r="AK188">
        <v>21676.95</v>
      </c>
      <c r="AL188">
        <v>19117.169999999998</v>
      </c>
      <c r="AM188">
        <v>23.65</v>
      </c>
      <c r="AN188">
        <v>15.55</v>
      </c>
      <c r="AO188">
        <v>2536.13</v>
      </c>
      <c r="AP188">
        <v>0</v>
      </c>
      <c r="AQ188">
        <v>310.42</v>
      </c>
      <c r="AR188">
        <v>1.72</v>
      </c>
      <c r="AS188">
        <v>0</v>
      </c>
      <c r="AT188">
        <v>77</v>
      </c>
      <c r="AU188">
        <v>57</v>
      </c>
      <c r="AV188">
        <v>1</v>
      </c>
      <c r="AW188">
        <v>1</v>
      </c>
      <c r="AZ188">
        <v>1</v>
      </c>
      <c r="BA188">
        <v>20.88</v>
      </c>
      <c r="BB188">
        <v>16.059999999999999</v>
      </c>
      <c r="BC188">
        <v>3.22</v>
      </c>
      <c r="BD188" t="s">
        <v>3</v>
      </c>
      <c r="BE188" t="s">
        <v>3</v>
      </c>
      <c r="BF188" t="s">
        <v>3</v>
      </c>
      <c r="BG188" t="s">
        <v>3</v>
      </c>
      <c r="BH188">
        <v>0</v>
      </c>
      <c r="BI188">
        <v>1</v>
      </c>
      <c r="BJ188" t="s">
        <v>198</v>
      </c>
      <c r="BM188">
        <v>11001</v>
      </c>
      <c r="BN188">
        <v>0</v>
      </c>
      <c r="BO188" t="s">
        <v>196</v>
      </c>
      <c r="BP188">
        <v>1</v>
      </c>
      <c r="BQ188">
        <v>2</v>
      </c>
      <c r="BR188">
        <v>0</v>
      </c>
      <c r="BS188">
        <v>20.88</v>
      </c>
      <c r="BT188">
        <v>1</v>
      </c>
      <c r="BU188">
        <v>1</v>
      </c>
      <c r="BV188">
        <v>1</v>
      </c>
      <c r="BW188">
        <v>1</v>
      </c>
      <c r="BX188">
        <v>1</v>
      </c>
      <c r="BY188" t="s">
        <v>3</v>
      </c>
      <c r="BZ188">
        <v>123</v>
      </c>
      <c r="CA188">
        <v>75</v>
      </c>
      <c r="CF188">
        <v>0</v>
      </c>
      <c r="CG188">
        <v>0</v>
      </c>
      <c r="CM188">
        <v>0</v>
      </c>
      <c r="CN188" t="s">
        <v>937</v>
      </c>
      <c r="CO188">
        <v>0</v>
      </c>
      <c r="CP188">
        <f t="shared" si="203"/>
        <v>884</v>
      </c>
      <c r="CQ188">
        <f t="shared" si="204"/>
        <v>61557.287400000001</v>
      </c>
      <c r="CR188">
        <f t="shared" si="205"/>
        <v>474.89419999999996</v>
      </c>
      <c r="CS188">
        <f t="shared" si="206"/>
        <v>405.90719999999999</v>
      </c>
      <c r="CT188">
        <f t="shared" si="207"/>
        <v>60897.563999999998</v>
      </c>
      <c r="CU188">
        <f t="shared" si="208"/>
        <v>0</v>
      </c>
      <c r="CV188">
        <f t="shared" si="209"/>
        <v>356.983</v>
      </c>
      <c r="CW188">
        <f t="shared" si="210"/>
        <v>2.15</v>
      </c>
      <c r="CX188">
        <f t="shared" si="211"/>
        <v>0</v>
      </c>
      <c r="CY188">
        <f t="shared" si="212"/>
        <v>339.57</v>
      </c>
      <c r="CZ188">
        <f t="shared" si="213"/>
        <v>251.37</v>
      </c>
      <c r="DC188" t="s">
        <v>3</v>
      </c>
      <c r="DD188" t="s">
        <v>3</v>
      </c>
      <c r="DE188" t="s">
        <v>160</v>
      </c>
      <c r="DF188" t="s">
        <v>160</v>
      </c>
      <c r="DG188" t="s">
        <v>161</v>
      </c>
      <c r="DH188" t="s">
        <v>3</v>
      </c>
      <c r="DI188" t="s">
        <v>161</v>
      </c>
      <c r="DJ188" t="s">
        <v>160</v>
      </c>
      <c r="DK188" t="s">
        <v>3</v>
      </c>
      <c r="DL188" t="s">
        <v>3</v>
      </c>
      <c r="DM188" t="s">
        <v>3</v>
      </c>
      <c r="DN188">
        <v>0</v>
      </c>
      <c r="DO188">
        <v>0</v>
      </c>
      <c r="DP188">
        <v>1</v>
      </c>
      <c r="DQ188">
        <v>1</v>
      </c>
      <c r="DU188">
        <v>1013</v>
      </c>
      <c r="DV188" t="s">
        <v>48</v>
      </c>
      <c r="DW188" t="s">
        <v>48</v>
      </c>
      <c r="DX188">
        <v>1</v>
      </c>
      <c r="EE188">
        <v>45269177</v>
      </c>
      <c r="EF188">
        <v>2</v>
      </c>
      <c r="EG188" t="s">
        <v>19</v>
      </c>
      <c r="EH188">
        <v>0</v>
      </c>
      <c r="EI188" t="s">
        <v>3</v>
      </c>
      <c r="EJ188">
        <v>1</v>
      </c>
      <c r="EK188">
        <v>11001</v>
      </c>
      <c r="EL188" t="s">
        <v>50</v>
      </c>
      <c r="EM188" t="s">
        <v>199</v>
      </c>
      <c r="EO188" t="s">
        <v>162</v>
      </c>
      <c r="EQ188">
        <v>0</v>
      </c>
      <c r="ER188">
        <v>21676.95</v>
      </c>
      <c r="ES188">
        <v>19117.169999999998</v>
      </c>
      <c r="ET188">
        <v>23.65</v>
      </c>
      <c r="EU188">
        <v>15.55</v>
      </c>
      <c r="EV188">
        <v>2536.13</v>
      </c>
      <c r="EW188">
        <v>310.42</v>
      </c>
      <c r="EX188">
        <v>1.72</v>
      </c>
      <c r="EY188">
        <v>0</v>
      </c>
      <c r="FQ188">
        <v>0</v>
      </c>
      <c r="FR188">
        <f t="shared" si="214"/>
        <v>0</v>
      </c>
      <c r="FS188">
        <v>0</v>
      </c>
      <c r="FT188" t="s">
        <v>22</v>
      </c>
      <c r="FU188" t="s">
        <v>23</v>
      </c>
      <c r="FX188">
        <v>77.489999999999995</v>
      </c>
      <c r="FY188">
        <v>57.375</v>
      </c>
      <c r="GA188" t="s">
        <v>3</v>
      </c>
      <c r="GD188">
        <v>0</v>
      </c>
      <c r="GF188">
        <v>-2086405919</v>
      </c>
      <c r="GG188">
        <v>2</v>
      </c>
      <c r="GH188">
        <v>1</v>
      </c>
      <c r="GI188">
        <v>2</v>
      </c>
      <c r="GJ188">
        <v>0</v>
      </c>
      <c r="GK188">
        <f>ROUND(R188*(R12)/100,0)</f>
        <v>0</v>
      </c>
      <c r="GL188">
        <f t="shared" si="215"/>
        <v>0</v>
      </c>
      <c r="GM188">
        <f t="shared" si="216"/>
        <v>1475</v>
      </c>
      <c r="GN188">
        <f t="shared" si="217"/>
        <v>1475</v>
      </c>
      <c r="GO188">
        <f t="shared" si="218"/>
        <v>0</v>
      </c>
      <c r="GP188">
        <f t="shared" si="219"/>
        <v>0</v>
      </c>
      <c r="GR188">
        <v>0</v>
      </c>
      <c r="GS188">
        <v>3</v>
      </c>
      <c r="GT188">
        <v>0</v>
      </c>
      <c r="GU188" t="s">
        <v>3</v>
      </c>
      <c r="GV188">
        <f t="shared" si="220"/>
        <v>0</v>
      </c>
      <c r="GW188">
        <v>1</v>
      </c>
      <c r="GX188">
        <f t="shared" si="221"/>
        <v>0</v>
      </c>
      <c r="HA188">
        <v>0</v>
      </c>
      <c r="HB188">
        <v>0</v>
      </c>
      <c r="IK188">
        <v>0</v>
      </c>
    </row>
    <row r="190" spans="1:245">
      <c r="A190" s="2">
        <v>51</v>
      </c>
      <c r="B190" s="2">
        <f>B136</f>
        <v>1</v>
      </c>
      <c r="C190" s="2">
        <f>A136</f>
        <v>4</v>
      </c>
      <c r="D190" s="2">
        <f>ROW(A136)</f>
        <v>136</v>
      </c>
      <c r="E190" s="2"/>
      <c r="F190" s="2" t="str">
        <f>IF(F136&lt;&gt;"",F136,"")</f>
        <v>3</v>
      </c>
      <c r="G190" s="2" t="str">
        <f>IF(G136&lt;&gt;"",G136,"")</f>
        <v>Склад аптеки</v>
      </c>
      <c r="H190" s="2">
        <v>0</v>
      </c>
      <c r="I190" s="2"/>
      <c r="J190" s="2"/>
      <c r="K190" s="2"/>
      <c r="L190" s="2"/>
      <c r="M190" s="2"/>
      <c r="N190" s="2"/>
      <c r="O190" s="2">
        <f t="shared" ref="O190:T190" si="226">ROUND(AB190,0)</f>
        <v>155624</v>
      </c>
      <c r="P190" s="2">
        <f t="shared" si="226"/>
        <v>97118</v>
      </c>
      <c r="Q190" s="2">
        <f t="shared" si="226"/>
        <v>2190</v>
      </c>
      <c r="R190" s="2">
        <f t="shared" si="226"/>
        <v>1119</v>
      </c>
      <c r="S190" s="2">
        <f t="shared" si="226"/>
        <v>56316</v>
      </c>
      <c r="T190" s="2">
        <f t="shared" si="226"/>
        <v>0</v>
      </c>
      <c r="U190" s="2">
        <f>AH190</f>
        <v>326.88007849999985</v>
      </c>
      <c r="V190" s="2">
        <f>AI190</f>
        <v>5.1145597499999989</v>
      </c>
      <c r="W190" s="2">
        <f>ROUND(AJ190,0)</f>
        <v>0</v>
      </c>
      <c r="X190" s="2">
        <f>ROUND(AK190,0)</f>
        <v>40372</v>
      </c>
      <c r="Y190" s="2">
        <f>ROUND(AL190,0)</f>
        <v>29179</v>
      </c>
      <c r="Z190" s="2"/>
      <c r="AA190" s="2"/>
      <c r="AB190" s="2">
        <f>ROUND(SUMIF(AA140:AA188,"=48370320",O140:O188),0)</f>
        <v>155624</v>
      </c>
      <c r="AC190" s="2">
        <f>ROUND(SUMIF(AA140:AA188,"=48370320",P140:P188),0)</f>
        <v>97118</v>
      </c>
      <c r="AD190" s="2">
        <f>ROUND(SUMIF(AA140:AA188,"=48370320",Q140:Q188),0)</f>
        <v>2190</v>
      </c>
      <c r="AE190" s="2">
        <f>ROUND(SUMIF(AA140:AA188,"=48370320",R140:R188),0)</f>
        <v>1119</v>
      </c>
      <c r="AF190" s="2">
        <f>ROUND(SUMIF(AA140:AA188,"=48370320",S140:S188),0)</f>
        <v>56316</v>
      </c>
      <c r="AG190" s="2">
        <f>ROUND(SUMIF(AA140:AA188,"=48370320",T140:T188),0)</f>
        <v>0</v>
      </c>
      <c r="AH190" s="2">
        <f>SUMIF(AA140:AA188,"=48370320",U140:U188)</f>
        <v>326.88007849999985</v>
      </c>
      <c r="AI190" s="2">
        <f>SUMIF(AA140:AA188,"=48370320",V140:V188)</f>
        <v>5.1145597499999989</v>
      </c>
      <c r="AJ190" s="2">
        <f>ROUND(SUMIF(AA140:AA188,"=48370320",W140:W188),0)</f>
        <v>0</v>
      </c>
      <c r="AK190" s="2">
        <f>ROUND(SUMIF(AA140:AA188,"=48370320",X140:X188),0)</f>
        <v>40372</v>
      </c>
      <c r="AL190" s="2">
        <f>ROUND(SUMIF(AA140:AA188,"=48370320",Y140:Y188),0)</f>
        <v>29179</v>
      </c>
      <c r="AM190" s="2"/>
      <c r="AN190" s="2"/>
      <c r="AO190" s="2">
        <f t="shared" ref="AO190:BC190" si="227">ROUND(BX190,0)</f>
        <v>0</v>
      </c>
      <c r="AP190" s="2">
        <f t="shared" si="227"/>
        <v>0</v>
      </c>
      <c r="AQ190" s="2">
        <f t="shared" si="227"/>
        <v>0</v>
      </c>
      <c r="AR190" s="2">
        <f t="shared" si="227"/>
        <v>225175</v>
      </c>
      <c r="AS190" s="2">
        <f t="shared" si="227"/>
        <v>225175</v>
      </c>
      <c r="AT190" s="2">
        <f t="shared" si="227"/>
        <v>0</v>
      </c>
      <c r="AU190" s="2">
        <f t="shared" si="227"/>
        <v>0</v>
      </c>
      <c r="AV190" s="2">
        <f t="shared" si="227"/>
        <v>97118</v>
      </c>
      <c r="AW190" s="2">
        <f t="shared" si="227"/>
        <v>97118</v>
      </c>
      <c r="AX190" s="2">
        <f t="shared" si="227"/>
        <v>0</v>
      </c>
      <c r="AY190" s="2">
        <f t="shared" si="227"/>
        <v>97118</v>
      </c>
      <c r="AZ190" s="2">
        <f t="shared" si="227"/>
        <v>0</v>
      </c>
      <c r="BA190" s="2">
        <f t="shared" si="227"/>
        <v>0</v>
      </c>
      <c r="BB190" s="2">
        <f t="shared" si="227"/>
        <v>0</v>
      </c>
      <c r="BC190" s="2">
        <f t="shared" si="227"/>
        <v>0</v>
      </c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>
        <f>ROUND(SUMIF(AA140:AA188,"=48370320",FQ140:FQ188),0)</f>
        <v>0</v>
      </c>
      <c r="BY190" s="2">
        <f>ROUND(SUMIF(AA140:AA188,"=48370320",FR140:FR188),0)</f>
        <v>0</v>
      </c>
      <c r="BZ190" s="2">
        <f>ROUND(SUMIF(AA140:AA188,"=48370320",GL140:GL188),0)</f>
        <v>0</v>
      </c>
      <c r="CA190" s="2">
        <f>ROUND(SUMIF(AA140:AA188,"=48370320",GM140:GM188),0)</f>
        <v>225175</v>
      </c>
      <c r="CB190" s="2">
        <f>ROUND(SUMIF(AA140:AA188,"=48370320",GN140:GN188),0)</f>
        <v>225175</v>
      </c>
      <c r="CC190" s="2">
        <f>ROUND(SUMIF(AA140:AA188,"=48370320",GO140:GO188),0)</f>
        <v>0</v>
      </c>
      <c r="CD190" s="2">
        <f>ROUND(SUMIF(AA140:AA188,"=48370320",GP140:GP188),0)</f>
        <v>0</v>
      </c>
      <c r="CE190" s="2">
        <f>AC190-BX190</f>
        <v>97118</v>
      </c>
      <c r="CF190" s="2">
        <f>AC190-BY190</f>
        <v>97118</v>
      </c>
      <c r="CG190" s="2">
        <f>BX190-BZ190</f>
        <v>0</v>
      </c>
      <c r="CH190" s="2">
        <f>AC190-BX190-BY190+BZ190</f>
        <v>97118</v>
      </c>
      <c r="CI190" s="2">
        <f>BY190-BZ190</f>
        <v>0</v>
      </c>
      <c r="CJ190" s="2">
        <f>ROUND(SUMIF(AA140:AA188,"=48370320",GX140:GX188),0)</f>
        <v>0</v>
      </c>
      <c r="CK190" s="2">
        <f>ROUND(SUMIF(AA140:AA188,"=48370320",GY140:GY188),0)</f>
        <v>0</v>
      </c>
      <c r="CL190" s="2">
        <f>ROUND(SUMIF(AA140:AA188,"=48370320",GZ140:GZ188),0)</f>
        <v>0</v>
      </c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>
        <v>0</v>
      </c>
    </row>
    <row r="192" spans="1:245">
      <c r="A192" s="4">
        <v>50</v>
      </c>
      <c r="B192" s="4">
        <v>0</v>
      </c>
      <c r="C192" s="4">
        <v>0</v>
      </c>
      <c r="D192" s="4">
        <v>1</v>
      </c>
      <c r="E192" s="4">
        <v>201</v>
      </c>
      <c r="F192" s="4">
        <f>ROUND(Source!O190,O192)</f>
        <v>155624</v>
      </c>
      <c r="G192" s="4" t="s">
        <v>104</v>
      </c>
      <c r="H192" s="4" t="s">
        <v>105</v>
      </c>
      <c r="I192" s="4"/>
      <c r="J192" s="4"/>
      <c r="K192" s="4">
        <v>201</v>
      </c>
      <c r="L192" s="4">
        <v>1</v>
      </c>
      <c r="M192" s="4">
        <v>3</v>
      </c>
      <c r="N192" s="4" t="s">
        <v>3</v>
      </c>
      <c r="O192" s="4">
        <v>0</v>
      </c>
      <c r="P192" s="4"/>
      <c r="Q192" s="4"/>
      <c r="R192" s="4"/>
      <c r="S192" s="4"/>
      <c r="T192" s="4"/>
      <c r="U192" s="4"/>
      <c r="V192" s="4"/>
      <c r="W192" s="4"/>
    </row>
    <row r="193" spans="1:23">
      <c r="A193" s="4">
        <v>50</v>
      </c>
      <c r="B193" s="4">
        <v>0</v>
      </c>
      <c r="C193" s="4">
        <v>0</v>
      </c>
      <c r="D193" s="4">
        <v>1</v>
      </c>
      <c r="E193" s="4">
        <v>202</v>
      </c>
      <c r="F193" s="4">
        <f>ROUND(Source!P190,O193)</f>
        <v>97118</v>
      </c>
      <c r="G193" s="4" t="s">
        <v>106</v>
      </c>
      <c r="H193" s="4" t="s">
        <v>107</v>
      </c>
      <c r="I193" s="4"/>
      <c r="J193" s="4"/>
      <c r="K193" s="4">
        <v>202</v>
      </c>
      <c r="L193" s="4">
        <v>2</v>
      </c>
      <c r="M193" s="4">
        <v>3</v>
      </c>
      <c r="N193" s="4" t="s">
        <v>3</v>
      </c>
      <c r="O193" s="4">
        <v>0</v>
      </c>
      <c r="P193" s="4"/>
      <c r="Q193" s="4"/>
      <c r="R193" s="4"/>
      <c r="S193" s="4"/>
      <c r="T193" s="4"/>
      <c r="U193" s="4"/>
      <c r="V193" s="4"/>
      <c r="W193" s="4"/>
    </row>
    <row r="194" spans="1:23">
      <c r="A194" s="4">
        <v>50</v>
      </c>
      <c r="B194" s="4">
        <v>0</v>
      </c>
      <c r="C194" s="4">
        <v>0</v>
      </c>
      <c r="D194" s="4">
        <v>1</v>
      </c>
      <c r="E194" s="4">
        <v>222</v>
      </c>
      <c r="F194" s="4">
        <f>ROUND(Source!AO190,O194)</f>
        <v>0</v>
      </c>
      <c r="G194" s="4" t="s">
        <v>108</v>
      </c>
      <c r="H194" s="4" t="s">
        <v>109</v>
      </c>
      <c r="I194" s="4"/>
      <c r="J194" s="4"/>
      <c r="K194" s="4">
        <v>222</v>
      </c>
      <c r="L194" s="4">
        <v>3</v>
      </c>
      <c r="M194" s="4">
        <v>3</v>
      </c>
      <c r="N194" s="4" t="s">
        <v>3</v>
      </c>
      <c r="O194" s="4">
        <v>0</v>
      </c>
      <c r="P194" s="4"/>
      <c r="Q194" s="4"/>
      <c r="R194" s="4"/>
      <c r="S194" s="4"/>
      <c r="T194" s="4"/>
      <c r="U194" s="4"/>
      <c r="V194" s="4"/>
      <c r="W194" s="4"/>
    </row>
    <row r="195" spans="1:23">
      <c r="A195" s="4">
        <v>50</v>
      </c>
      <c r="B195" s="4">
        <v>0</v>
      </c>
      <c r="C195" s="4">
        <v>0</v>
      </c>
      <c r="D195" s="4">
        <v>1</v>
      </c>
      <c r="E195" s="4">
        <v>225</v>
      </c>
      <c r="F195" s="4">
        <f>ROUND(Source!AV190,O195)</f>
        <v>97118</v>
      </c>
      <c r="G195" s="4" t="s">
        <v>110</v>
      </c>
      <c r="H195" s="4" t="s">
        <v>111</v>
      </c>
      <c r="I195" s="4"/>
      <c r="J195" s="4"/>
      <c r="K195" s="4">
        <v>225</v>
      </c>
      <c r="L195" s="4">
        <v>4</v>
      </c>
      <c r="M195" s="4">
        <v>3</v>
      </c>
      <c r="N195" s="4" t="s">
        <v>3</v>
      </c>
      <c r="O195" s="4">
        <v>0</v>
      </c>
      <c r="P195" s="4"/>
      <c r="Q195" s="4"/>
      <c r="R195" s="4"/>
      <c r="S195" s="4"/>
      <c r="T195" s="4"/>
      <c r="U195" s="4"/>
      <c r="V195" s="4"/>
      <c r="W195" s="4"/>
    </row>
    <row r="196" spans="1:23">
      <c r="A196" s="4">
        <v>50</v>
      </c>
      <c r="B196" s="4">
        <v>0</v>
      </c>
      <c r="C196" s="4">
        <v>0</v>
      </c>
      <c r="D196" s="4">
        <v>1</v>
      </c>
      <c r="E196" s="4">
        <v>226</v>
      </c>
      <c r="F196" s="4">
        <f>ROUND(Source!AW190,O196)</f>
        <v>97118</v>
      </c>
      <c r="G196" s="4" t="s">
        <v>112</v>
      </c>
      <c r="H196" s="4" t="s">
        <v>113</v>
      </c>
      <c r="I196" s="4"/>
      <c r="J196" s="4"/>
      <c r="K196" s="4">
        <v>226</v>
      </c>
      <c r="L196" s="4">
        <v>5</v>
      </c>
      <c r="M196" s="4">
        <v>3</v>
      </c>
      <c r="N196" s="4" t="s">
        <v>3</v>
      </c>
      <c r="O196" s="4">
        <v>0</v>
      </c>
      <c r="P196" s="4"/>
      <c r="Q196" s="4"/>
      <c r="R196" s="4"/>
      <c r="S196" s="4"/>
      <c r="T196" s="4"/>
      <c r="U196" s="4"/>
      <c r="V196" s="4"/>
      <c r="W196" s="4"/>
    </row>
    <row r="197" spans="1:23">
      <c r="A197" s="4">
        <v>50</v>
      </c>
      <c r="B197" s="4">
        <v>0</v>
      </c>
      <c r="C197" s="4">
        <v>0</v>
      </c>
      <c r="D197" s="4">
        <v>1</v>
      </c>
      <c r="E197" s="4">
        <v>227</v>
      </c>
      <c r="F197" s="4">
        <f>ROUND(Source!AX190,O197)</f>
        <v>0</v>
      </c>
      <c r="G197" s="4" t="s">
        <v>114</v>
      </c>
      <c r="H197" s="4" t="s">
        <v>115</v>
      </c>
      <c r="I197" s="4"/>
      <c r="J197" s="4"/>
      <c r="K197" s="4">
        <v>227</v>
      </c>
      <c r="L197" s="4">
        <v>6</v>
      </c>
      <c r="M197" s="4">
        <v>3</v>
      </c>
      <c r="N197" s="4" t="s">
        <v>3</v>
      </c>
      <c r="O197" s="4">
        <v>0</v>
      </c>
      <c r="P197" s="4"/>
      <c r="Q197" s="4"/>
      <c r="R197" s="4"/>
      <c r="S197" s="4"/>
      <c r="T197" s="4"/>
      <c r="U197" s="4"/>
      <c r="V197" s="4"/>
      <c r="W197" s="4"/>
    </row>
    <row r="198" spans="1:23">
      <c r="A198" s="4">
        <v>50</v>
      </c>
      <c r="B198" s="4">
        <v>0</v>
      </c>
      <c r="C198" s="4">
        <v>0</v>
      </c>
      <c r="D198" s="4">
        <v>1</v>
      </c>
      <c r="E198" s="4">
        <v>228</v>
      </c>
      <c r="F198" s="4">
        <f>ROUND(Source!AY190,O198)</f>
        <v>97118</v>
      </c>
      <c r="G198" s="4" t="s">
        <v>116</v>
      </c>
      <c r="H198" s="4" t="s">
        <v>117</v>
      </c>
      <c r="I198" s="4"/>
      <c r="J198" s="4"/>
      <c r="K198" s="4">
        <v>228</v>
      </c>
      <c r="L198" s="4">
        <v>7</v>
      </c>
      <c r="M198" s="4">
        <v>3</v>
      </c>
      <c r="N198" s="4" t="s">
        <v>3</v>
      </c>
      <c r="O198" s="4">
        <v>0</v>
      </c>
      <c r="P198" s="4"/>
      <c r="Q198" s="4"/>
      <c r="R198" s="4"/>
      <c r="S198" s="4"/>
      <c r="T198" s="4"/>
      <c r="U198" s="4"/>
      <c r="V198" s="4"/>
      <c r="W198" s="4"/>
    </row>
    <row r="199" spans="1:23">
      <c r="A199" s="4">
        <v>50</v>
      </c>
      <c r="B199" s="4">
        <v>0</v>
      </c>
      <c r="C199" s="4">
        <v>0</v>
      </c>
      <c r="D199" s="4">
        <v>1</v>
      </c>
      <c r="E199" s="4">
        <v>216</v>
      </c>
      <c r="F199" s="4">
        <f>ROUND(Source!AP190,O199)</f>
        <v>0</v>
      </c>
      <c r="G199" s="4" t="s">
        <v>118</v>
      </c>
      <c r="H199" s="4" t="s">
        <v>119</v>
      </c>
      <c r="I199" s="4"/>
      <c r="J199" s="4"/>
      <c r="K199" s="4">
        <v>216</v>
      </c>
      <c r="L199" s="4">
        <v>8</v>
      </c>
      <c r="M199" s="4">
        <v>3</v>
      </c>
      <c r="N199" s="4" t="s">
        <v>3</v>
      </c>
      <c r="O199" s="4">
        <v>0</v>
      </c>
      <c r="P199" s="4"/>
      <c r="Q199" s="4"/>
      <c r="R199" s="4"/>
      <c r="S199" s="4"/>
      <c r="T199" s="4"/>
      <c r="U199" s="4"/>
      <c r="V199" s="4"/>
      <c r="W199" s="4"/>
    </row>
    <row r="200" spans="1:23">
      <c r="A200" s="4">
        <v>50</v>
      </c>
      <c r="B200" s="4">
        <v>0</v>
      </c>
      <c r="C200" s="4">
        <v>0</v>
      </c>
      <c r="D200" s="4">
        <v>1</v>
      </c>
      <c r="E200" s="4">
        <v>223</v>
      </c>
      <c r="F200" s="4">
        <f>ROUND(Source!AQ190,O200)</f>
        <v>0</v>
      </c>
      <c r="G200" s="4" t="s">
        <v>120</v>
      </c>
      <c r="H200" s="4" t="s">
        <v>121</v>
      </c>
      <c r="I200" s="4"/>
      <c r="J200" s="4"/>
      <c r="K200" s="4">
        <v>223</v>
      </c>
      <c r="L200" s="4">
        <v>9</v>
      </c>
      <c r="M200" s="4">
        <v>3</v>
      </c>
      <c r="N200" s="4" t="s">
        <v>3</v>
      </c>
      <c r="O200" s="4">
        <v>0</v>
      </c>
      <c r="P200" s="4"/>
      <c r="Q200" s="4"/>
      <c r="R200" s="4"/>
      <c r="S200" s="4"/>
      <c r="T200" s="4"/>
      <c r="U200" s="4"/>
      <c r="V200" s="4"/>
      <c r="W200" s="4"/>
    </row>
    <row r="201" spans="1:23">
      <c r="A201" s="4">
        <v>50</v>
      </c>
      <c r="B201" s="4">
        <v>0</v>
      </c>
      <c r="C201" s="4">
        <v>0</v>
      </c>
      <c r="D201" s="4">
        <v>1</v>
      </c>
      <c r="E201" s="4">
        <v>229</v>
      </c>
      <c r="F201" s="4">
        <f>ROUND(Source!AZ190,O201)</f>
        <v>0</v>
      </c>
      <c r="G201" s="4" t="s">
        <v>122</v>
      </c>
      <c r="H201" s="4" t="s">
        <v>123</v>
      </c>
      <c r="I201" s="4"/>
      <c r="J201" s="4"/>
      <c r="K201" s="4">
        <v>229</v>
      </c>
      <c r="L201" s="4">
        <v>10</v>
      </c>
      <c r="M201" s="4">
        <v>3</v>
      </c>
      <c r="N201" s="4" t="s">
        <v>3</v>
      </c>
      <c r="O201" s="4">
        <v>0</v>
      </c>
      <c r="P201" s="4"/>
      <c r="Q201" s="4"/>
      <c r="R201" s="4"/>
      <c r="S201" s="4"/>
      <c r="T201" s="4"/>
      <c r="U201" s="4"/>
      <c r="V201" s="4"/>
      <c r="W201" s="4"/>
    </row>
    <row r="202" spans="1:23">
      <c r="A202" s="4">
        <v>50</v>
      </c>
      <c r="B202" s="4">
        <v>0</v>
      </c>
      <c r="C202" s="4">
        <v>0</v>
      </c>
      <c r="D202" s="4">
        <v>1</v>
      </c>
      <c r="E202" s="4">
        <v>203</v>
      </c>
      <c r="F202" s="4">
        <f>ROUND(Source!Q190,O202)</f>
        <v>2190</v>
      </c>
      <c r="G202" s="4" t="s">
        <v>124</v>
      </c>
      <c r="H202" s="4" t="s">
        <v>125</v>
      </c>
      <c r="I202" s="4"/>
      <c r="J202" s="4"/>
      <c r="K202" s="4">
        <v>203</v>
      </c>
      <c r="L202" s="4">
        <v>11</v>
      </c>
      <c r="M202" s="4">
        <v>3</v>
      </c>
      <c r="N202" s="4" t="s">
        <v>3</v>
      </c>
      <c r="O202" s="4">
        <v>0</v>
      </c>
      <c r="P202" s="4"/>
      <c r="Q202" s="4"/>
      <c r="R202" s="4"/>
      <c r="S202" s="4"/>
      <c r="T202" s="4"/>
      <c r="U202" s="4"/>
      <c r="V202" s="4"/>
      <c r="W202" s="4"/>
    </row>
    <row r="203" spans="1:23">
      <c r="A203" s="4">
        <v>50</v>
      </c>
      <c r="B203" s="4">
        <v>0</v>
      </c>
      <c r="C203" s="4">
        <v>0</v>
      </c>
      <c r="D203" s="4">
        <v>1</v>
      </c>
      <c r="E203" s="4">
        <v>231</v>
      </c>
      <c r="F203" s="4">
        <f>ROUND(Source!BB190,O203)</f>
        <v>0</v>
      </c>
      <c r="G203" s="4" t="s">
        <v>126</v>
      </c>
      <c r="H203" s="4" t="s">
        <v>127</v>
      </c>
      <c r="I203" s="4"/>
      <c r="J203" s="4"/>
      <c r="K203" s="4">
        <v>231</v>
      </c>
      <c r="L203" s="4">
        <v>12</v>
      </c>
      <c r="M203" s="4">
        <v>3</v>
      </c>
      <c r="N203" s="4" t="s">
        <v>3</v>
      </c>
      <c r="O203" s="4">
        <v>0</v>
      </c>
      <c r="P203" s="4"/>
      <c r="Q203" s="4"/>
      <c r="R203" s="4"/>
      <c r="S203" s="4"/>
      <c r="T203" s="4"/>
      <c r="U203" s="4"/>
      <c r="V203" s="4"/>
      <c r="W203" s="4"/>
    </row>
    <row r="204" spans="1:23">
      <c r="A204" s="4">
        <v>50</v>
      </c>
      <c r="B204" s="4">
        <v>0</v>
      </c>
      <c r="C204" s="4">
        <v>0</v>
      </c>
      <c r="D204" s="4">
        <v>1</v>
      </c>
      <c r="E204" s="4">
        <v>204</v>
      </c>
      <c r="F204" s="4">
        <f>ROUND(Source!R190,O204)</f>
        <v>1119</v>
      </c>
      <c r="G204" s="4" t="s">
        <v>128</v>
      </c>
      <c r="H204" s="4" t="s">
        <v>129</v>
      </c>
      <c r="I204" s="4"/>
      <c r="J204" s="4"/>
      <c r="K204" s="4">
        <v>204</v>
      </c>
      <c r="L204" s="4">
        <v>13</v>
      </c>
      <c r="M204" s="4">
        <v>3</v>
      </c>
      <c r="N204" s="4" t="s">
        <v>3</v>
      </c>
      <c r="O204" s="4">
        <v>0</v>
      </c>
      <c r="P204" s="4"/>
      <c r="Q204" s="4"/>
      <c r="R204" s="4"/>
      <c r="S204" s="4"/>
      <c r="T204" s="4"/>
      <c r="U204" s="4"/>
      <c r="V204" s="4"/>
      <c r="W204" s="4"/>
    </row>
    <row r="205" spans="1:23">
      <c r="A205" s="4">
        <v>50</v>
      </c>
      <c r="B205" s="4">
        <v>0</v>
      </c>
      <c r="C205" s="4">
        <v>0</v>
      </c>
      <c r="D205" s="4">
        <v>1</v>
      </c>
      <c r="E205" s="4">
        <v>205</v>
      </c>
      <c r="F205" s="4">
        <f>ROUND(Source!S190,O205)</f>
        <v>56316</v>
      </c>
      <c r="G205" s="4" t="s">
        <v>130</v>
      </c>
      <c r="H205" s="4" t="s">
        <v>131</v>
      </c>
      <c r="I205" s="4"/>
      <c r="J205" s="4"/>
      <c r="K205" s="4">
        <v>205</v>
      </c>
      <c r="L205" s="4">
        <v>14</v>
      </c>
      <c r="M205" s="4">
        <v>3</v>
      </c>
      <c r="N205" s="4" t="s">
        <v>3</v>
      </c>
      <c r="O205" s="4">
        <v>0</v>
      </c>
      <c r="P205" s="4"/>
      <c r="Q205" s="4"/>
      <c r="R205" s="4"/>
      <c r="S205" s="4"/>
      <c r="T205" s="4"/>
      <c r="U205" s="4"/>
      <c r="V205" s="4"/>
      <c r="W205" s="4"/>
    </row>
    <row r="206" spans="1:23">
      <c r="A206" s="4">
        <v>50</v>
      </c>
      <c r="B206" s="4">
        <v>0</v>
      </c>
      <c r="C206" s="4">
        <v>0</v>
      </c>
      <c r="D206" s="4">
        <v>1</v>
      </c>
      <c r="E206" s="4">
        <v>232</v>
      </c>
      <c r="F206" s="4">
        <f>ROUND(Source!BC190,O206)</f>
        <v>0</v>
      </c>
      <c r="G206" s="4" t="s">
        <v>132</v>
      </c>
      <c r="H206" s="4" t="s">
        <v>133</v>
      </c>
      <c r="I206" s="4"/>
      <c r="J206" s="4"/>
      <c r="K206" s="4">
        <v>232</v>
      </c>
      <c r="L206" s="4">
        <v>15</v>
      </c>
      <c r="M206" s="4">
        <v>3</v>
      </c>
      <c r="N206" s="4" t="s">
        <v>3</v>
      </c>
      <c r="O206" s="4">
        <v>0</v>
      </c>
      <c r="P206" s="4"/>
      <c r="Q206" s="4"/>
      <c r="R206" s="4"/>
      <c r="S206" s="4"/>
      <c r="T206" s="4"/>
      <c r="U206" s="4"/>
      <c r="V206" s="4"/>
      <c r="W206" s="4"/>
    </row>
    <row r="207" spans="1:23">
      <c r="A207" s="4">
        <v>50</v>
      </c>
      <c r="B207" s="4">
        <v>0</v>
      </c>
      <c r="C207" s="4">
        <v>0</v>
      </c>
      <c r="D207" s="4">
        <v>1</v>
      </c>
      <c r="E207" s="4">
        <v>214</v>
      </c>
      <c r="F207" s="4">
        <f>ROUND(Source!AS190,O207)</f>
        <v>225175</v>
      </c>
      <c r="G207" s="4" t="s">
        <v>134</v>
      </c>
      <c r="H207" s="4" t="s">
        <v>135</v>
      </c>
      <c r="I207" s="4"/>
      <c r="J207" s="4"/>
      <c r="K207" s="4">
        <v>214</v>
      </c>
      <c r="L207" s="4">
        <v>16</v>
      </c>
      <c r="M207" s="4">
        <v>3</v>
      </c>
      <c r="N207" s="4" t="s">
        <v>3</v>
      </c>
      <c r="O207" s="4">
        <v>0</v>
      </c>
      <c r="P207" s="4"/>
      <c r="Q207" s="4"/>
      <c r="R207" s="4"/>
      <c r="S207" s="4"/>
      <c r="T207" s="4"/>
      <c r="U207" s="4"/>
      <c r="V207" s="4"/>
      <c r="W207" s="4"/>
    </row>
    <row r="208" spans="1:23">
      <c r="A208" s="4">
        <v>50</v>
      </c>
      <c r="B208" s="4">
        <v>0</v>
      </c>
      <c r="C208" s="4">
        <v>0</v>
      </c>
      <c r="D208" s="4">
        <v>1</v>
      </c>
      <c r="E208" s="4">
        <v>215</v>
      </c>
      <c r="F208" s="4">
        <f>ROUND(Source!AT190,O208)</f>
        <v>0</v>
      </c>
      <c r="G208" s="4" t="s">
        <v>136</v>
      </c>
      <c r="H208" s="4" t="s">
        <v>137</v>
      </c>
      <c r="I208" s="4"/>
      <c r="J208" s="4"/>
      <c r="K208" s="4">
        <v>215</v>
      </c>
      <c r="L208" s="4">
        <v>17</v>
      </c>
      <c r="M208" s="4">
        <v>3</v>
      </c>
      <c r="N208" s="4" t="s">
        <v>3</v>
      </c>
      <c r="O208" s="4">
        <v>0</v>
      </c>
      <c r="P208" s="4"/>
      <c r="Q208" s="4"/>
      <c r="R208" s="4"/>
      <c r="S208" s="4"/>
      <c r="T208" s="4"/>
      <c r="U208" s="4"/>
      <c r="V208" s="4"/>
      <c r="W208" s="4"/>
    </row>
    <row r="209" spans="1:206">
      <c r="A209" s="4">
        <v>50</v>
      </c>
      <c r="B209" s="4">
        <v>0</v>
      </c>
      <c r="C209" s="4">
        <v>0</v>
      </c>
      <c r="D209" s="4">
        <v>1</v>
      </c>
      <c r="E209" s="4">
        <v>217</v>
      </c>
      <c r="F209" s="4">
        <f>ROUND(Source!AU190,O209)</f>
        <v>0</v>
      </c>
      <c r="G209" s="4" t="s">
        <v>138</v>
      </c>
      <c r="H209" s="4" t="s">
        <v>139</v>
      </c>
      <c r="I209" s="4"/>
      <c r="J209" s="4"/>
      <c r="K209" s="4">
        <v>217</v>
      </c>
      <c r="L209" s="4">
        <v>18</v>
      </c>
      <c r="M209" s="4">
        <v>3</v>
      </c>
      <c r="N209" s="4" t="s">
        <v>3</v>
      </c>
      <c r="O209" s="4">
        <v>0</v>
      </c>
      <c r="P209" s="4"/>
      <c r="Q209" s="4"/>
      <c r="R209" s="4"/>
      <c r="S209" s="4"/>
      <c r="T209" s="4"/>
      <c r="U209" s="4"/>
      <c r="V209" s="4"/>
      <c r="W209" s="4"/>
    </row>
    <row r="210" spans="1:206">
      <c r="A210" s="4">
        <v>50</v>
      </c>
      <c r="B210" s="4">
        <v>0</v>
      </c>
      <c r="C210" s="4">
        <v>0</v>
      </c>
      <c r="D210" s="4">
        <v>1</v>
      </c>
      <c r="E210" s="4">
        <v>230</v>
      </c>
      <c r="F210" s="4">
        <f>ROUND(Source!BA190,O210)</f>
        <v>0</v>
      </c>
      <c r="G210" s="4" t="s">
        <v>140</v>
      </c>
      <c r="H210" s="4" t="s">
        <v>141</v>
      </c>
      <c r="I210" s="4"/>
      <c r="J210" s="4"/>
      <c r="K210" s="4">
        <v>230</v>
      </c>
      <c r="L210" s="4">
        <v>19</v>
      </c>
      <c r="M210" s="4">
        <v>3</v>
      </c>
      <c r="N210" s="4" t="s">
        <v>3</v>
      </c>
      <c r="O210" s="4">
        <v>0</v>
      </c>
      <c r="P210" s="4"/>
      <c r="Q210" s="4"/>
      <c r="R210" s="4"/>
      <c r="S210" s="4"/>
      <c r="T210" s="4"/>
      <c r="U210" s="4"/>
      <c r="V210" s="4"/>
      <c r="W210" s="4"/>
    </row>
    <row r="211" spans="1:206">
      <c r="A211" s="4">
        <v>50</v>
      </c>
      <c r="B211" s="4">
        <v>0</v>
      </c>
      <c r="C211" s="4">
        <v>0</v>
      </c>
      <c r="D211" s="4">
        <v>1</v>
      </c>
      <c r="E211" s="4">
        <v>206</v>
      </c>
      <c r="F211" s="4">
        <f>ROUND(Source!T190,O211)</f>
        <v>0</v>
      </c>
      <c r="G211" s="4" t="s">
        <v>142</v>
      </c>
      <c r="H211" s="4" t="s">
        <v>143</v>
      </c>
      <c r="I211" s="4"/>
      <c r="J211" s="4"/>
      <c r="K211" s="4">
        <v>206</v>
      </c>
      <c r="L211" s="4">
        <v>20</v>
      </c>
      <c r="M211" s="4">
        <v>3</v>
      </c>
      <c r="N211" s="4" t="s">
        <v>3</v>
      </c>
      <c r="O211" s="4">
        <v>0</v>
      </c>
      <c r="P211" s="4"/>
      <c r="Q211" s="4"/>
      <c r="R211" s="4"/>
      <c r="S211" s="4"/>
      <c r="T211" s="4"/>
      <c r="U211" s="4"/>
      <c r="V211" s="4"/>
      <c r="W211" s="4"/>
    </row>
    <row r="212" spans="1:206">
      <c r="A212" s="4">
        <v>50</v>
      </c>
      <c r="B212" s="4">
        <v>0</v>
      </c>
      <c r="C212" s="4">
        <v>0</v>
      </c>
      <c r="D212" s="4">
        <v>1</v>
      </c>
      <c r="E212" s="4">
        <v>207</v>
      </c>
      <c r="F212" s="4">
        <f>Source!U190</f>
        <v>326.88007849999985</v>
      </c>
      <c r="G212" s="4" t="s">
        <v>144</v>
      </c>
      <c r="H212" s="4" t="s">
        <v>145</v>
      </c>
      <c r="I212" s="4"/>
      <c r="J212" s="4"/>
      <c r="K212" s="4">
        <v>207</v>
      </c>
      <c r="L212" s="4">
        <v>21</v>
      </c>
      <c r="M212" s="4">
        <v>3</v>
      </c>
      <c r="N212" s="4" t="s">
        <v>3</v>
      </c>
      <c r="O212" s="4">
        <v>-1</v>
      </c>
      <c r="P212" s="4"/>
      <c r="Q212" s="4"/>
      <c r="R212" s="4"/>
      <c r="S212" s="4"/>
      <c r="T212" s="4"/>
      <c r="U212" s="4"/>
      <c r="V212" s="4"/>
      <c r="W212" s="4"/>
    </row>
    <row r="213" spans="1:206">
      <c r="A213" s="4">
        <v>50</v>
      </c>
      <c r="B213" s="4">
        <v>0</v>
      </c>
      <c r="C213" s="4">
        <v>0</v>
      </c>
      <c r="D213" s="4">
        <v>1</v>
      </c>
      <c r="E213" s="4">
        <v>208</v>
      </c>
      <c r="F213" s="4">
        <f>Source!V190</f>
        <v>5.1145597499999989</v>
      </c>
      <c r="G213" s="4" t="s">
        <v>146</v>
      </c>
      <c r="H213" s="4" t="s">
        <v>147</v>
      </c>
      <c r="I213" s="4"/>
      <c r="J213" s="4"/>
      <c r="K213" s="4">
        <v>208</v>
      </c>
      <c r="L213" s="4">
        <v>22</v>
      </c>
      <c r="M213" s="4">
        <v>3</v>
      </c>
      <c r="N213" s="4" t="s">
        <v>3</v>
      </c>
      <c r="O213" s="4">
        <v>-1</v>
      </c>
      <c r="P213" s="4"/>
      <c r="Q213" s="4"/>
      <c r="R213" s="4"/>
      <c r="S213" s="4"/>
      <c r="T213" s="4"/>
      <c r="U213" s="4"/>
      <c r="V213" s="4"/>
      <c r="W213" s="4"/>
    </row>
    <row r="214" spans="1:206">
      <c r="A214" s="4">
        <v>50</v>
      </c>
      <c r="B214" s="4">
        <v>0</v>
      </c>
      <c r="C214" s="4">
        <v>0</v>
      </c>
      <c r="D214" s="4">
        <v>1</v>
      </c>
      <c r="E214" s="4">
        <v>209</v>
      </c>
      <c r="F214" s="4">
        <f>ROUND(Source!W190,O214)</f>
        <v>0</v>
      </c>
      <c r="G214" s="4" t="s">
        <v>148</v>
      </c>
      <c r="H214" s="4" t="s">
        <v>149</v>
      </c>
      <c r="I214" s="4"/>
      <c r="J214" s="4"/>
      <c r="K214" s="4">
        <v>209</v>
      </c>
      <c r="L214" s="4">
        <v>23</v>
      </c>
      <c r="M214" s="4">
        <v>3</v>
      </c>
      <c r="N214" s="4" t="s">
        <v>3</v>
      </c>
      <c r="O214" s="4">
        <v>0</v>
      </c>
      <c r="P214" s="4"/>
      <c r="Q214" s="4"/>
      <c r="R214" s="4"/>
      <c r="S214" s="4"/>
      <c r="T214" s="4"/>
      <c r="U214" s="4"/>
      <c r="V214" s="4"/>
      <c r="W214" s="4"/>
    </row>
    <row r="215" spans="1:206">
      <c r="A215" s="4">
        <v>50</v>
      </c>
      <c r="B215" s="4">
        <v>0</v>
      </c>
      <c r="C215" s="4">
        <v>0</v>
      </c>
      <c r="D215" s="4">
        <v>1</v>
      </c>
      <c r="E215" s="4">
        <v>210</v>
      </c>
      <c r="F215" s="4">
        <f>ROUND(Source!X190,O215)</f>
        <v>40372</v>
      </c>
      <c r="G215" s="4" t="s">
        <v>150</v>
      </c>
      <c r="H215" s="4" t="s">
        <v>151</v>
      </c>
      <c r="I215" s="4"/>
      <c r="J215" s="4"/>
      <c r="K215" s="4">
        <v>210</v>
      </c>
      <c r="L215" s="4">
        <v>24</v>
      </c>
      <c r="M215" s="4">
        <v>3</v>
      </c>
      <c r="N215" s="4" t="s">
        <v>3</v>
      </c>
      <c r="O215" s="4">
        <v>0</v>
      </c>
      <c r="P215" s="4"/>
      <c r="Q215" s="4"/>
      <c r="R215" s="4"/>
      <c r="S215" s="4"/>
      <c r="T215" s="4"/>
      <c r="U215" s="4"/>
      <c r="V215" s="4"/>
      <c r="W215" s="4"/>
    </row>
    <row r="216" spans="1:206">
      <c r="A216" s="4">
        <v>50</v>
      </c>
      <c r="B216" s="4">
        <v>0</v>
      </c>
      <c r="C216" s="4">
        <v>0</v>
      </c>
      <c r="D216" s="4">
        <v>1</v>
      </c>
      <c r="E216" s="4">
        <v>211</v>
      </c>
      <c r="F216" s="4">
        <f>ROUND(Source!Y190,O216)</f>
        <v>29179</v>
      </c>
      <c r="G216" s="4" t="s">
        <v>152</v>
      </c>
      <c r="H216" s="4" t="s">
        <v>153</v>
      </c>
      <c r="I216" s="4"/>
      <c r="J216" s="4"/>
      <c r="K216" s="4">
        <v>211</v>
      </c>
      <c r="L216" s="4">
        <v>25</v>
      </c>
      <c r="M216" s="4">
        <v>3</v>
      </c>
      <c r="N216" s="4" t="s">
        <v>3</v>
      </c>
      <c r="O216" s="4">
        <v>0</v>
      </c>
      <c r="P216" s="4"/>
      <c r="Q216" s="4"/>
      <c r="R216" s="4"/>
      <c r="S216" s="4"/>
      <c r="T216" s="4"/>
      <c r="U216" s="4"/>
      <c r="V216" s="4"/>
      <c r="W216" s="4"/>
    </row>
    <row r="217" spans="1:206">
      <c r="A217" s="4">
        <v>50</v>
      </c>
      <c r="B217" s="4">
        <v>0</v>
      </c>
      <c r="C217" s="4">
        <v>0</v>
      </c>
      <c r="D217" s="4">
        <v>1</v>
      </c>
      <c r="E217" s="4">
        <v>224</v>
      </c>
      <c r="F217" s="4">
        <f>ROUND(Source!AR190,O217)</f>
        <v>225175</v>
      </c>
      <c r="G217" s="4" t="s">
        <v>154</v>
      </c>
      <c r="H217" s="4" t="s">
        <v>155</v>
      </c>
      <c r="I217" s="4"/>
      <c r="J217" s="4"/>
      <c r="K217" s="4">
        <v>224</v>
      </c>
      <c r="L217" s="4">
        <v>26</v>
      </c>
      <c r="M217" s="4">
        <v>3</v>
      </c>
      <c r="N217" s="4" t="s">
        <v>3</v>
      </c>
      <c r="O217" s="4">
        <v>0</v>
      </c>
      <c r="P217" s="4"/>
      <c r="Q217" s="4"/>
      <c r="R217" s="4"/>
      <c r="S217" s="4"/>
      <c r="T217" s="4"/>
      <c r="U217" s="4"/>
      <c r="V217" s="4"/>
      <c r="W217" s="4"/>
    </row>
    <row r="218" spans="1:206">
      <c r="A218" s="4">
        <v>50</v>
      </c>
      <c r="B218" s="4">
        <v>1</v>
      </c>
      <c r="C218" s="4">
        <v>0</v>
      </c>
      <c r="D218" s="4">
        <v>2</v>
      </c>
      <c r="E218" s="4">
        <v>213</v>
      </c>
      <c r="F218" s="4">
        <f>ROUND(F217,O218)</f>
        <v>225175</v>
      </c>
      <c r="G218" s="4" t="s">
        <v>156</v>
      </c>
      <c r="H218" s="4" t="s">
        <v>156</v>
      </c>
      <c r="I218" s="4"/>
      <c r="J218" s="4"/>
      <c r="K218" s="4">
        <v>212</v>
      </c>
      <c r="L218" s="4">
        <v>27</v>
      </c>
      <c r="M218" s="4">
        <v>0</v>
      </c>
      <c r="N218" s="4" t="s">
        <v>3</v>
      </c>
      <c r="O218" s="4">
        <v>0</v>
      </c>
      <c r="P218" s="4"/>
      <c r="Q218" s="4"/>
      <c r="R218" s="4"/>
      <c r="S218" s="4"/>
      <c r="T218" s="4"/>
      <c r="U218" s="4"/>
      <c r="V218" s="4"/>
      <c r="W218" s="4"/>
    </row>
    <row r="220" spans="1:206">
      <c r="A220" s="2">
        <v>51</v>
      </c>
      <c r="B220" s="2">
        <f>B20</f>
        <v>1</v>
      </c>
      <c r="C220" s="2">
        <f>A20</f>
        <v>3</v>
      </c>
      <c r="D220" s="2">
        <f>ROW(A20)</f>
        <v>20</v>
      </c>
      <c r="E220" s="2"/>
      <c r="F220" s="2" t="str">
        <f>IF(F20&lt;&gt;"",F20,"")</f>
        <v>02-01-01</v>
      </c>
      <c r="G220" s="2" t="str">
        <f>IF(G20&lt;&gt;"",G20,"")</f>
        <v>Санузел для инвалидов</v>
      </c>
      <c r="H220" s="2">
        <v>0</v>
      </c>
      <c r="I220" s="2"/>
      <c r="J220" s="2"/>
      <c r="K220" s="2"/>
      <c r="L220" s="2"/>
      <c r="M220" s="2"/>
      <c r="N220" s="2"/>
      <c r="O220" s="2">
        <f t="shared" ref="O220:T220" si="228">ROUND(O42+O106+O190+AB220,0)</f>
        <v>242056</v>
      </c>
      <c r="P220" s="2">
        <f t="shared" si="228"/>
        <v>156144</v>
      </c>
      <c r="Q220" s="2">
        <f t="shared" si="228"/>
        <v>4541</v>
      </c>
      <c r="R220" s="2">
        <f t="shared" si="228"/>
        <v>2073</v>
      </c>
      <c r="S220" s="2">
        <f t="shared" si="228"/>
        <v>81371</v>
      </c>
      <c r="T220" s="2">
        <f t="shared" si="228"/>
        <v>0</v>
      </c>
      <c r="U220" s="2">
        <f>U42+U106+U190+AH220</f>
        <v>468.74874079999984</v>
      </c>
      <c r="V220" s="2">
        <f>V42+V106+V190+AI220</f>
        <v>9.8130142499999984</v>
      </c>
      <c r="W220" s="2">
        <f>ROUND(W42+W106+W190+AJ220,0)</f>
        <v>0</v>
      </c>
      <c r="X220" s="2">
        <f>ROUND(X42+X106+X190+AK220,0)</f>
        <v>58307</v>
      </c>
      <c r="Y220" s="2">
        <f>ROUND(Y42+Y106+Y190+AL220,0)</f>
        <v>42132</v>
      </c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>
        <f t="shared" ref="AO220:BC220" si="229">ROUND(AO42+AO106+AO190+BX220,0)</f>
        <v>0</v>
      </c>
      <c r="AP220" s="2">
        <f t="shared" si="229"/>
        <v>0</v>
      </c>
      <c r="AQ220" s="2">
        <f t="shared" si="229"/>
        <v>0</v>
      </c>
      <c r="AR220" s="2">
        <f t="shared" si="229"/>
        <v>342495</v>
      </c>
      <c r="AS220" s="2">
        <f t="shared" si="229"/>
        <v>340345</v>
      </c>
      <c r="AT220" s="2">
        <f t="shared" si="229"/>
        <v>2150</v>
      </c>
      <c r="AU220" s="2">
        <f t="shared" si="229"/>
        <v>0</v>
      </c>
      <c r="AV220" s="2">
        <f t="shared" si="229"/>
        <v>156144</v>
      </c>
      <c r="AW220" s="2">
        <f t="shared" si="229"/>
        <v>156144</v>
      </c>
      <c r="AX220" s="2">
        <f t="shared" si="229"/>
        <v>0</v>
      </c>
      <c r="AY220" s="2">
        <f t="shared" si="229"/>
        <v>156144</v>
      </c>
      <c r="AZ220" s="2">
        <f t="shared" si="229"/>
        <v>0</v>
      </c>
      <c r="BA220" s="2">
        <f t="shared" si="229"/>
        <v>0</v>
      </c>
      <c r="BB220" s="2">
        <f t="shared" si="229"/>
        <v>0</v>
      </c>
      <c r="BC220" s="2">
        <f t="shared" si="229"/>
        <v>0</v>
      </c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>
        <v>0</v>
      </c>
    </row>
    <row r="222" spans="1:206">
      <c r="A222" s="4">
        <v>50</v>
      </c>
      <c r="B222" s="4">
        <v>0</v>
      </c>
      <c r="C222" s="4">
        <v>0</v>
      </c>
      <c r="D222" s="4">
        <v>1</v>
      </c>
      <c r="E222" s="4">
        <v>201</v>
      </c>
      <c r="F222" s="4">
        <f>ROUND(Source!O220,O222)</f>
        <v>242056</v>
      </c>
      <c r="G222" s="4" t="s">
        <v>104</v>
      </c>
      <c r="H222" s="4" t="s">
        <v>105</v>
      </c>
      <c r="I222" s="4"/>
      <c r="J222" s="4"/>
      <c r="K222" s="4">
        <v>201</v>
      </c>
      <c r="L222" s="4">
        <v>1</v>
      </c>
      <c r="M222" s="4">
        <v>3</v>
      </c>
      <c r="N222" s="4" t="s">
        <v>3</v>
      </c>
      <c r="O222" s="4">
        <v>0</v>
      </c>
      <c r="P222" s="4"/>
      <c r="Q222" s="4"/>
      <c r="R222" s="4"/>
      <c r="S222" s="4"/>
      <c r="T222" s="4"/>
      <c r="U222" s="4"/>
      <c r="V222" s="4"/>
      <c r="W222" s="4"/>
    </row>
    <row r="223" spans="1:206">
      <c r="A223" s="4">
        <v>50</v>
      </c>
      <c r="B223" s="4">
        <v>0</v>
      </c>
      <c r="C223" s="4">
        <v>0</v>
      </c>
      <c r="D223" s="4">
        <v>1</v>
      </c>
      <c r="E223" s="4">
        <v>202</v>
      </c>
      <c r="F223" s="4">
        <f>ROUND(Source!P220,O223)</f>
        <v>156144</v>
      </c>
      <c r="G223" s="4" t="s">
        <v>106</v>
      </c>
      <c r="H223" s="4" t="s">
        <v>107</v>
      </c>
      <c r="I223" s="4"/>
      <c r="J223" s="4"/>
      <c r="K223" s="4">
        <v>202</v>
      </c>
      <c r="L223" s="4">
        <v>2</v>
      </c>
      <c r="M223" s="4">
        <v>3</v>
      </c>
      <c r="N223" s="4" t="s">
        <v>3</v>
      </c>
      <c r="O223" s="4">
        <v>0</v>
      </c>
      <c r="P223" s="4"/>
      <c r="Q223" s="4"/>
      <c r="R223" s="4"/>
      <c r="S223" s="4"/>
      <c r="T223" s="4"/>
      <c r="U223" s="4"/>
      <c r="V223" s="4"/>
      <c r="W223" s="4"/>
    </row>
    <row r="224" spans="1:206">
      <c r="A224" s="4">
        <v>50</v>
      </c>
      <c r="B224" s="4">
        <v>0</v>
      </c>
      <c r="C224" s="4">
        <v>0</v>
      </c>
      <c r="D224" s="4">
        <v>1</v>
      </c>
      <c r="E224" s="4">
        <v>222</v>
      </c>
      <c r="F224" s="4">
        <f>ROUND(Source!AO220,O224)</f>
        <v>0</v>
      </c>
      <c r="G224" s="4" t="s">
        <v>108</v>
      </c>
      <c r="H224" s="4" t="s">
        <v>109</v>
      </c>
      <c r="I224" s="4"/>
      <c r="J224" s="4"/>
      <c r="K224" s="4">
        <v>222</v>
      </c>
      <c r="L224" s="4">
        <v>3</v>
      </c>
      <c r="M224" s="4">
        <v>3</v>
      </c>
      <c r="N224" s="4" t="s">
        <v>3</v>
      </c>
      <c r="O224" s="4">
        <v>0</v>
      </c>
      <c r="P224" s="4"/>
      <c r="Q224" s="4"/>
      <c r="R224" s="4"/>
      <c r="S224" s="4"/>
      <c r="T224" s="4"/>
      <c r="U224" s="4"/>
      <c r="V224" s="4"/>
      <c r="W224" s="4"/>
    </row>
    <row r="225" spans="1:23">
      <c r="A225" s="4">
        <v>50</v>
      </c>
      <c r="B225" s="4">
        <v>0</v>
      </c>
      <c r="C225" s="4">
        <v>0</v>
      </c>
      <c r="D225" s="4">
        <v>1</v>
      </c>
      <c r="E225" s="4">
        <v>225</v>
      </c>
      <c r="F225" s="4">
        <f>ROUND(Source!AV220,O225)</f>
        <v>156144</v>
      </c>
      <c r="G225" s="4" t="s">
        <v>110</v>
      </c>
      <c r="H225" s="4" t="s">
        <v>111</v>
      </c>
      <c r="I225" s="4"/>
      <c r="J225" s="4"/>
      <c r="K225" s="4">
        <v>225</v>
      </c>
      <c r="L225" s="4">
        <v>4</v>
      </c>
      <c r="M225" s="4">
        <v>3</v>
      </c>
      <c r="N225" s="4" t="s">
        <v>3</v>
      </c>
      <c r="O225" s="4">
        <v>0</v>
      </c>
      <c r="P225" s="4"/>
      <c r="Q225" s="4"/>
      <c r="R225" s="4"/>
      <c r="S225" s="4"/>
      <c r="T225" s="4"/>
      <c r="U225" s="4"/>
      <c r="V225" s="4"/>
      <c r="W225" s="4"/>
    </row>
    <row r="226" spans="1:23">
      <c r="A226" s="4">
        <v>50</v>
      </c>
      <c r="B226" s="4">
        <v>0</v>
      </c>
      <c r="C226" s="4">
        <v>0</v>
      </c>
      <c r="D226" s="4">
        <v>1</v>
      </c>
      <c r="E226" s="4">
        <v>226</v>
      </c>
      <c r="F226" s="4">
        <f>ROUND(Source!AW220,O226)</f>
        <v>156144</v>
      </c>
      <c r="G226" s="4" t="s">
        <v>112</v>
      </c>
      <c r="H226" s="4" t="s">
        <v>113</v>
      </c>
      <c r="I226" s="4"/>
      <c r="J226" s="4"/>
      <c r="K226" s="4">
        <v>226</v>
      </c>
      <c r="L226" s="4">
        <v>5</v>
      </c>
      <c r="M226" s="4">
        <v>3</v>
      </c>
      <c r="N226" s="4" t="s">
        <v>3</v>
      </c>
      <c r="O226" s="4">
        <v>0</v>
      </c>
      <c r="P226" s="4"/>
      <c r="Q226" s="4"/>
      <c r="R226" s="4"/>
      <c r="S226" s="4"/>
      <c r="T226" s="4"/>
      <c r="U226" s="4"/>
      <c r="V226" s="4"/>
      <c r="W226" s="4"/>
    </row>
    <row r="227" spans="1:23">
      <c r="A227" s="4">
        <v>50</v>
      </c>
      <c r="B227" s="4">
        <v>0</v>
      </c>
      <c r="C227" s="4">
        <v>0</v>
      </c>
      <c r="D227" s="4">
        <v>1</v>
      </c>
      <c r="E227" s="4">
        <v>227</v>
      </c>
      <c r="F227" s="4">
        <f>ROUND(Source!AX220,O227)</f>
        <v>0</v>
      </c>
      <c r="G227" s="4" t="s">
        <v>114</v>
      </c>
      <c r="H227" s="4" t="s">
        <v>115</v>
      </c>
      <c r="I227" s="4"/>
      <c r="J227" s="4"/>
      <c r="K227" s="4">
        <v>227</v>
      </c>
      <c r="L227" s="4">
        <v>6</v>
      </c>
      <c r="M227" s="4">
        <v>3</v>
      </c>
      <c r="N227" s="4" t="s">
        <v>3</v>
      </c>
      <c r="O227" s="4">
        <v>0</v>
      </c>
      <c r="P227" s="4"/>
      <c r="Q227" s="4"/>
      <c r="R227" s="4"/>
      <c r="S227" s="4"/>
      <c r="T227" s="4"/>
      <c r="U227" s="4"/>
      <c r="V227" s="4"/>
      <c r="W227" s="4"/>
    </row>
    <row r="228" spans="1:23">
      <c r="A228" s="4">
        <v>50</v>
      </c>
      <c r="B228" s="4">
        <v>0</v>
      </c>
      <c r="C228" s="4">
        <v>0</v>
      </c>
      <c r="D228" s="4">
        <v>1</v>
      </c>
      <c r="E228" s="4">
        <v>228</v>
      </c>
      <c r="F228" s="4">
        <f>ROUND(Source!AY220,O228)</f>
        <v>156144</v>
      </c>
      <c r="G228" s="4" t="s">
        <v>116</v>
      </c>
      <c r="H228" s="4" t="s">
        <v>117</v>
      </c>
      <c r="I228" s="4"/>
      <c r="J228" s="4"/>
      <c r="K228" s="4">
        <v>228</v>
      </c>
      <c r="L228" s="4">
        <v>7</v>
      </c>
      <c r="M228" s="4">
        <v>3</v>
      </c>
      <c r="N228" s="4" t="s">
        <v>3</v>
      </c>
      <c r="O228" s="4">
        <v>0</v>
      </c>
      <c r="P228" s="4"/>
      <c r="Q228" s="4"/>
      <c r="R228" s="4"/>
      <c r="S228" s="4"/>
      <c r="T228" s="4"/>
      <c r="U228" s="4"/>
      <c r="V228" s="4"/>
      <c r="W228" s="4"/>
    </row>
    <row r="229" spans="1:23">
      <c r="A229" s="4">
        <v>50</v>
      </c>
      <c r="B229" s="4">
        <v>0</v>
      </c>
      <c r="C229" s="4">
        <v>0</v>
      </c>
      <c r="D229" s="4">
        <v>1</v>
      </c>
      <c r="E229" s="4">
        <v>216</v>
      </c>
      <c r="F229" s="4">
        <f>ROUND(Source!AP220,O229)</f>
        <v>0</v>
      </c>
      <c r="G229" s="4" t="s">
        <v>118</v>
      </c>
      <c r="H229" s="4" t="s">
        <v>119</v>
      </c>
      <c r="I229" s="4"/>
      <c r="J229" s="4"/>
      <c r="K229" s="4">
        <v>216</v>
      </c>
      <c r="L229" s="4">
        <v>8</v>
      </c>
      <c r="M229" s="4">
        <v>3</v>
      </c>
      <c r="N229" s="4" t="s">
        <v>3</v>
      </c>
      <c r="O229" s="4">
        <v>0</v>
      </c>
      <c r="P229" s="4"/>
      <c r="Q229" s="4"/>
      <c r="R229" s="4"/>
      <c r="S229" s="4"/>
      <c r="T229" s="4"/>
      <c r="U229" s="4"/>
      <c r="V229" s="4"/>
      <c r="W229" s="4"/>
    </row>
    <row r="230" spans="1:23">
      <c r="A230" s="4">
        <v>50</v>
      </c>
      <c r="B230" s="4">
        <v>0</v>
      </c>
      <c r="C230" s="4">
        <v>0</v>
      </c>
      <c r="D230" s="4">
        <v>1</v>
      </c>
      <c r="E230" s="4">
        <v>223</v>
      </c>
      <c r="F230" s="4">
        <f>ROUND(Source!AQ220,O230)</f>
        <v>0</v>
      </c>
      <c r="G230" s="4" t="s">
        <v>120</v>
      </c>
      <c r="H230" s="4" t="s">
        <v>121</v>
      </c>
      <c r="I230" s="4"/>
      <c r="J230" s="4"/>
      <c r="K230" s="4">
        <v>223</v>
      </c>
      <c r="L230" s="4">
        <v>9</v>
      </c>
      <c r="M230" s="4">
        <v>3</v>
      </c>
      <c r="N230" s="4" t="s">
        <v>3</v>
      </c>
      <c r="O230" s="4">
        <v>0</v>
      </c>
      <c r="P230" s="4"/>
      <c r="Q230" s="4"/>
      <c r="R230" s="4"/>
      <c r="S230" s="4"/>
      <c r="T230" s="4"/>
      <c r="U230" s="4"/>
      <c r="V230" s="4"/>
      <c r="W230" s="4"/>
    </row>
    <row r="231" spans="1:23">
      <c r="A231" s="4">
        <v>50</v>
      </c>
      <c r="B231" s="4">
        <v>0</v>
      </c>
      <c r="C231" s="4">
        <v>0</v>
      </c>
      <c r="D231" s="4">
        <v>1</v>
      </c>
      <c r="E231" s="4">
        <v>229</v>
      </c>
      <c r="F231" s="4">
        <f>ROUND(Source!AZ220,O231)</f>
        <v>0</v>
      </c>
      <c r="G231" s="4" t="s">
        <v>122</v>
      </c>
      <c r="H231" s="4" t="s">
        <v>123</v>
      </c>
      <c r="I231" s="4"/>
      <c r="J231" s="4"/>
      <c r="K231" s="4">
        <v>229</v>
      </c>
      <c r="L231" s="4">
        <v>10</v>
      </c>
      <c r="M231" s="4">
        <v>3</v>
      </c>
      <c r="N231" s="4" t="s">
        <v>3</v>
      </c>
      <c r="O231" s="4">
        <v>0</v>
      </c>
      <c r="P231" s="4"/>
      <c r="Q231" s="4"/>
      <c r="R231" s="4"/>
      <c r="S231" s="4"/>
      <c r="T231" s="4"/>
      <c r="U231" s="4"/>
      <c r="V231" s="4"/>
      <c r="W231" s="4"/>
    </row>
    <row r="232" spans="1:23">
      <c r="A232" s="4">
        <v>50</v>
      </c>
      <c r="B232" s="4">
        <v>0</v>
      </c>
      <c r="C232" s="4">
        <v>0</v>
      </c>
      <c r="D232" s="4">
        <v>1</v>
      </c>
      <c r="E232" s="4">
        <v>203</v>
      </c>
      <c r="F232" s="4">
        <f>ROUND(Source!Q220,O232)</f>
        <v>4541</v>
      </c>
      <c r="G232" s="4" t="s">
        <v>124</v>
      </c>
      <c r="H232" s="4" t="s">
        <v>125</v>
      </c>
      <c r="I232" s="4"/>
      <c r="J232" s="4"/>
      <c r="K232" s="4">
        <v>203</v>
      </c>
      <c r="L232" s="4">
        <v>11</v>
      </c>
      <c r="M232" s="4">
        <v>3</v>
      </c>
      <c r="N232" s="4" t="s">
        <v>3</v>
      </c>
      <c r="O232" s="4">
        <v>0</v>
      </c>
      <c r="P232" s="4"/>
      <c r="Q232" s="4"/>
      <c r="R232" s="4"/>
      <c r="S232" s="4"/>
      <c r="T232" s="4"/>
      <c r="U232" s="4"/>
      <c r="V232" s="4"/>
      <c r="W232" s="4"/>
    </row>
    <row r="233" spans="1:23">
      <c r="A233" s="4">
        <v>50</v>
      </c>
      <c r="B233" s="4">
        <v>0</v>
      </c>
      <c r="C233" s="4">
        <v>0</v>
      </c>
      <c r="D233" s="4">
        <v>1</v>
      </c>
      <c r="E233" s="4">
        <v>231</v>
      </c>
      <c r="F233" s="4">
        <f>ROUND(Source!BB220,O233)</f>
        <v>0</v>
      </c>
      <c r="G233" s="4" t="s">
        <v>126</v>
      </c>
      <c r="H233" s="4" t="s">
        <v>127</v>
      </c>
      <c r="I233" s="4"/>
      <c r="J233" s="4"/>
      <c r="K233" s="4">
        <v>231</v>
      </c>
      <c r="L233" s="4">
        <v>12</v>
      </c>
      <c r="M233" s="4">
        <v>3</v>
      </c>
      <c r="N233" s="4" t="s">
        <v>3</v>
      </c>
      <c r="O233" s="4">
        <v>0</v>
      </c>
      <c r="P233" s="4"/>
      <c r="Q233" s="4"/>
      <c r="R233" s="4"/>
      <c r="S233" s="4"/>
      <c r="T233" s="4"/>
      <c r="U233" s="4"/>
      <c r="V233" s="4"/>
      <c r="W233" s="4"/>
    </row>
    <row r="234" spans="1:23">
      <c r="A234" s="4">
        <v>50</v>
      </c>
      <c r="B234" s="4">
        <v>0</v>
      </c>
      <c r="C234" s="4">
        <v>0</v>
      </c>
      <c r="D234" s="4">
        <v>1</v>
      </c>
      <c r="E234" s="4">
        <v>204</v>
      </c>
      <c r="F234" s="4">
        <f>ROUND(Source!R220,O234)</f>
        <v>2073</v>
      </c>
      <c r="G234" s="4" t="s">
        <v>128</v>
      </c>
      <c r="H234" s="4" t="s">
        <v>129</v>
      </c>
      <c r="I234" s="4"/>
      <c r="J234" s="4"/>
      <c r="K234" s="4">
        <v>204</v>
      </c>
      <c r="L234" s="4">
        <v>13</v>
      </c>
      <c r="M234" s="4">
        <v>3</v>
      </c>
      <c r="N234" s="4" t="s">
        <v>3</v>
      </c>
      <c r="O234" s="4">
        <v>0</v>
      </c>
      <c r="P234" s="4"/>
      <c r="Q234" s="4"/>
      <c r="R234" s="4"/>
      <c r="S234" s="4"/>
      <c r="T234" s="4"/>
      <c r="U234" s="4"/>
      <c r="V234" s="4"/>
      <c r="W234" s="4"/>
    </row>
    <row r="235" spans="1:23">
      <c r="A235" s="4">
        <v>50</v>
      </c>
      <c r="B235" s="4">
        <v>0</v>
      </c>
      <c r="C235" s="4">
        <v>0</v>
      </c>
      <c r="D235" s="4">
        <v>1</v>
      </c>
      <c r="E235" s="4">
        <v>205</v>
      </c>
      <c r="F235" s="4">
        <f>ROUND(Source!S220,O235)</f>
        <v>81371</v>
      </c>
      <c r="G235" s="4" t="s">
        <v>130</v>
      </c>
      <c r="H235" s="4" t="s">
        <v>131</v>
      </c>
      <c r="I235" s="4"/>
      <c r="J235" s="4"/>
      <c r="K235" s="4">
        <v>205</v>
      </c>
      <c r="L235" s="4">
        <v>14</v>
      </c>
      <c r="M235" s="4">
        <v>3</v>
      </c>
      <c r="N235" s="4" t="s">
        <v>3</v>
      </c>
      <c r="O235" s="4">
        <v>0</v>
      </c>
      <c r="P235" s="4"/>
      <c r="Q235" s="4"/>
      <c r="R235" s="4"/>
      <c r="S235" s="4"/>
      <c r="T235" s="4"/>
      <c r="U235" s="4"/>
      <c r="V235" s="4"/>
      <c r="W235" s="4"/>
    </row>
    <row r="236" spans="1:23">
      <c r="A236" s="4">
        <v>50</v>
      </c>
      <c r="B236" s="4">
        <v>0</v>
      </c>
      <c r="C236" s="4">
        <v>0</v>
      </c>
      <c r="D236" s="4">
        <v>1</v>
      </c>
      <c r="E236" s="4">
        <v>232</v>
      </c>
      <c r="F236" s="4">
        <f>ROUND(Source!BC220,O236)</f>
        <v>0</v>
      </c>
      <c r="G236" s="4" t="s">
        <v>132</v>
      </c>
      <c r="H236" s="4" t="s">
        <v>133</v>
      </c>
      <c r="I236" s="4"/>
      <c r="J236" s="4"/>
      <c r="K236" s="4">
        <v>232</v>
      </c>
      <c r="L236" s="4">
        <v>15</v>
      </c>
      <c r="M236" s="4">
        <v>3</v>
      </c>
      <c r="N236" s="4" t="s">
        <v>3</v>
      </c>
      <c r="O236" s="4">
        <v>0</v>
      </c>
      <c r="P236" s="4"/>
      <c r="Q236" s="4"/>
      <c r="R236" s="4"/>
      <c r="S236" s="4"/>
      <c r="T236" s="4"/>
      <c r="U236" s="4"/>
      <c r="V236" s="4"/>
      <c r="W236" s="4"/>
    </row>
    <row r="237" spans="1:23">
      <c r="A237" s="4">
        <v>50</v>
      </c>
      <c r="B237" s="4">
        <v>0</v>
      </c>
      <c r="C237" s="4">
        <v>0</v>
      </c>
      <c r="D237" s="4">
        <v>1</v>
      </c>
      <c r="E237" s="4">
        <v>214</v>
      </c>
      <c r="F237" s="4">
        <f>ROUND(Source!AS220,O237)</f>
        <v>340345</v>
      </c>
      <c r="G237" s="4" t="s">
        <v>134</v>
      </c>
      <c r="H237" s="4" t="s">
        <v>135</v>
      </c>
      <c r="I237" s="4"/>
      <c r="J237" s="4"/>
      <c r="K237" s="4">
        <v>214</v>
      </c>
      <c r="L237" s="4">
        <v>16</v>
      </c>
      <c r="M237" s="4">
        <v>3</v>
      </c>
      <c r="N237" s="4" t="s">
        <v>3</v>
      </c>
      <c r="O237" s="4">
        <v>0</v>
      </c>
      <c r="P237" s="4"/>
      <c r="Q237" s="4"/>
      <c r="R237" s="4"/>
      <c r="S237" s="4"/>
      <c r="T237" s="4"/>
      <c r="U237" s="4"/>
      <c r="V237" s="4"/>
      <c r="W237" s="4"/>
    </row>
    <row r="238" spans="1:23">
      <c r="A238" s="4">
        <v>50</v>
      </c>
      <c r="B238" s="4">
        <v>0</v>
      </c>
      <c r="C238" s="4">
        <v>0</v>
      </c>
      <c r="D238" s="4">
        <v>1</v>
      </c>
      <c r="E238" s="4">
        <v>215</v>
      </c>
      <c r="F238" s="4">
        <f>ROUND(Source!AT220,O238)</f>
        <v>2150</v>
      </c>
      <c r="G238" s="4" t="s">
        <v>136</v>
      </c>
      <c r="H238" s="4" t="s">
        <v>137</v>
      </c>
      <c r="I238" s="4"/>
      <c r="J238" s="4"/>
      <c r="K238" s="4">
        <v>215</v>
      </c>
      <c r="L238" s="4">
        <v>17</v>
      </c>
      <c r="M238" s="4">
        <v>3</v>
      </c>
      <c r="N238" s="4" t="s">
        <v>3</v>
      </c>
      <c r="O238" s="4">
        <v>0</v>
      </c>
      <c r="P238" s="4"/>
      <c r="Q238" s="4"/>
      <c r="R238" s="4"/>
      <c r="S238" s="4"/>
      <c r="T238" s="4"/>
      <c r="U238" s="4"/>
      <c r="V238" s="4"/>
      <c r="W238" s="4"/>
    </row>
    <row r="239" spans="1:23">
      <c r="A239" s="4">
        <v>50</v>
      </c>
      <c r="B239" s="4">
        <v>0</v>
      </c>
      <c r="C239" s="4">
        <v>0</v>
      </c>
      <c r="D239" s="4">
        <v>1</v>
      </c>
      <c r="E239" s="4">
        <v>217</v>
      </c>
      <c r="F239" s="4">
        <f>ROUND(Source!AU220,O239)</f>
        <v>0</v>
      </c>
      <c r="G239" s="4" t="s">
        <v>138</v>
      </c>
      <c r="H239" s="4" t="s">
        <v>139</v>
      </c>
      <c r="I239" s="4"/>
      <c r="J239" s="4"/>
      <c r="K239" s="4">
        <v>217</v>
      </c>
      <c r="L239" s="4">
        <v>18</v>
      </c>
      <c r="M239" s="4">
        <v>3</v>
      </c>
      <c r="N239" s="4" t="s">
        <v>3</v>
      </c>
      <c r="O239" s="4">
        <v>0</v>
      </c>
      <c r="P239" s="4"/>
      <c r="Q239" s="4"/>
      <c r="R239" s="4"/>
      <c r="S239" s="4"/>
      <c r="T239" s="4"/>
      <c r="U239" s="4"/>
      <c r="V239" s="4"/>
      <c r="W239" s="4"/>
    </row>
    <row r="240" spans="1:23">
      <c r="A240" s="4">
        <v>50</v>
      </c>
      <c r="B240" s="4">
        <v>0</v>
      </c>
      <c r="C240" s="4">
        <v>0</v>
      </c>
      <c r="D240" s="4">
        <v>1</v>
      </c>
      <c r="E240" s="4">
        <v>230</v>
      </c>
      <c r="F240" s="4">
        <f>ROUND(Source!BA220,O240)</f>
        <v>0</v>
      </c>
      <c r="G240" s="4" t="s">
        <v>140</v>
      </c>
      <c r="H240" s="4" t="s">
        <v>141</v>
      </c>
      <c r="I240" s="4"/>
      <c r="J240" s="4"/>
      <c r="K240" s="4">
        <v>230</v>
      </c>
      <c r="L240" s="4">
        <v>19</v>
      </c>
      <c r="M240" s="4">
        <v>3</v>
      </c>
      <c r="N240" s="4" t="s">
        <v>3</v>
      </c>
      <c r="O240" s="4">
        <v>0</v>
      </c>
      <c r="P240" s="4"/>
      <c r="Q240" s="4"/>
      <c r="R240" s="4"/>
      <c r="S240" s="4"/>
      <c r="T240" s="4"/>
      <c r="U240" s="4"/>
      <c r="V240" s="4"/>
      <c r="W240" s="4"/>
    </row>
    <row r="241" spans="1:23">
      <c r="A241" s="4">
        <v>50</v>
      </c>
      <c r="B241" s="4">
        <v>0</v>
      </c>
      <c r="C241" s="4">
        <v>0</v>
      </c>
      <c r="D241" s="4">
        <v>1</v>
      </c>
      <c r="E241" s="4">
        <v>206</v>
      </c>
      <c r="F241" s="4">
        <f>ROUND(Source!T220,O241)</f>
        <v>0</v>
      </c>
      <c r="G241" s="4" t="s">
        <v>142</v>
      </c>
      <c r="H241" s="4" t="s">
        <v>143</v>
      </c>
      <c r="I241" s="4"/>
      <c r="J241" s="4"/>
      <c r="K241" s="4">
        <v>206</v>
      </c>
      <c r="L241" s="4">
        <v>20</v>
      </c>
      <c r="M241" s="4">
        <v>3</v>
      </c>
      <c r="N241" s="4" t="s">
        <v>3</v>
      </c>
      <c r="O241" s="4">
        <v>0</v>
      </c>
      <c r="P241" s="4"/>
      <c r="Q241" s="4"/>
      <c r="R241" s="4"/>
      <c r="S241" s="4"/>
      <c r="T241" s="4"/>
      <c r="U241" s="4"/>
      <c r="V241" s="4"/>
      <c r="W241" s="4"/>
    </row>
    <row r="242" spans="1:23">
      <c r="A242" s="4">
        <v>50</v>
      </c>
      <c r="B242" s="4">
        <v>0</v>
      </c>
      <c r="C242" s="4">
        <v>0</v>
      </c>
      <c r="D242" s="4">
        <v>1</v>
      </c>
      <c r="E242" s="4">
        <v>207</v>
      </c>
      <c r="F242" s="4">
        <f>Source!U220</f>
        <v>468.74874079999984</v>
      </c>
      <c r="G242" s="4" t="s">
        <v>144</v>
      </c>
      <c r="H242" s="4" t="s">
        <v>145</v>
      </c>
      <c r="I242" s="4"/>
      <c r="J242" s="4"/>
      <c r="K242" s="4">
        <v>207</v>
      </c>
      <c r="L242" s="4">
        <v>21</v>
      </c>
      <c r="M242" s="4">
        <v>3</v>
      </c>
      <c r="N242" s="4" t="s">
        <v>3</v>
      </c>
      <c r="O242" s="4">
        <v>-1</v>
      </c>
      <c r="P242" s="4"/>
      <c r="Q242" s="4"/>
      <c r="R242" s="4"/>
      <c r="S242" s="4"/>
      <c r="T242" s="4"/>
      <c r="U242" s="4"/>
      <c r="V242" s="4"/>
      <c r="W242" s="4"/>
    </row>
    <row r="243" spans="1:23">
      <c r="A243" s="4">
        <v>50</v>
      </c>
      <c r="B243" s="4">
        <v>0</v>
      </c>
      <c r="C243" s="4">
        <v>0</v>
      </c>
      <c r="D243" s="4">
        <v>1</v>
      </c>
      <c r="E243" s="4">
        <v>208</v>
      </c>
      <c r="F243" s="4">
        <f>Source!V220</f>
        <v>9.8130142499999984</v>
      </c>
      <c r="G243" s="4" t="s">
        <v>146</v>
      </c>
      <c r="H243" s="4" t="s">
        <v>147</v>
      </c>
      <c r="I243" s="4"/>
      <c r="J243" s="4"/>
      <c r="K243" s="4">
        <v>208</v>
      </c>
      <c r="L243" s="4">
        <v>22</v>
      </c>
      <c r="M243" s="4">
        <v>3</v>
      </c>
      <c r="N243" s="4" t="s">
        <v>3</v>
      </c>
      <c r="O243" s="4">
        <v>-1</v>
      </c>
      <c r="P243" s="4"/>
      <c r="Q243" s="4"/>
      <c r="R243" s="4"/>
      <c r="S243" s="4"/>
      <c r="T243" s="4"/>
      <c r="U243" s="4"/>
      <c r="V243" s="4"/>
      <c r="W243" s="4"/>
    </row>
    <row r="244" spans="1:23">
      <c r="A244" s="4">
        <v>50</v>
      </c>
      <c r="B244" s="4">
        <v>0</v>
      </c>
      <c r="C244" s="4">
        <v>0</v>
      </c>
      <c r="D244" s="4">
        <v>1</v>
      </c>
      <c r="E244" s="4">
        <v>209</v>
      </c>
      <c r="F244" s="4">
        <f>ROUND(Source!W220,O244)</f>
        <v>0</v>
      </c>
      <c r="G244" s="4" t="s">
        <v>148</v>
      </c>
      <c r="H244" s="4" t="s">
        <v>149</v>
      </c>
      <c r="I244" s="4"/>
      <c r="J244" s="4"/>
      <c r="K244" s="4">
        <v>209</v>
      </c>
      <c r="L244" s="4">
        <v>23</v>
      </c>
      <c r="M244" s="4">
        <v>3</v>
      </c>
      <c r="N244" s="4" t="s">
        <v>3</v>
      </c>
      <c r="O244" s="4">
        <v>0</v>
      </c>
      <c r="P244" s="4"/>
      <c r="Q244" s="4"/>
      <c r="R244" s="4"/>
      <c r="S244" s="4"/>
      <c r="T244" s="4"/>
      <c r="U244" s="4"/>
      <c r="V244" s="4"/>
      <c r="W244" s="4"/>
    </row>
    <row r="245" spans="1:23">
      <c r="A245" s="4">
        <v>50</v>
      </c>
      <c r="B245" s="4">
        <v>0</v>
      </c>
      <c r="C245" s="4">
        <v>0</v>
      </c>
      <c r="D245" s="4">
        <v>1</v>
      </c>
      <c r="E245" s="4">
        <v>210</v>
      </c>
      <c r="F245" s="4">
        <f>ROUND(Source!X220,O245)</f>
        <v>58307</v>
      </c>
      <c r="G245" s="4" t="s">
        <v>150</v>
      </c>
      <c r="H245" s="4" t="s">
        <v>151</v>
      </c>
      <c r="I245" s="4"/>
      <c r="J245" s="4"/>
      <c r="K245" s="4">
        <v>210</v>
      </c>
      <c r="L245" s="4">
        <v>24</v>
      </c>
      <c r="M245" s="4">
        <v>3</v>
      </c>
      <c r="N245" s="4" t="s">
        <v>3</v>
      </c>
      <c r="O245" s="4">
        <v>0</v>
      </c>
      <c r="P245" s="4"/>
      <c r="Q245" s="4"/>
      <c r="R245" s="4"/>
      <c r="S245" s="4"/>
      <c r="T245" s="4"/>
      <c r="U245" s="4"/>
      <c r="V245" s="4"/>
      <c r="W245" s="4"/>
    </row>
    <row r="246" spans="1:23">
      <c r="A246" s="4">
        <v>50</v>
      </c>
      <c r="B246" s="4">
        <v>0</v>
      </c>
      <c r="C246" s="4">
        <v>0</v>
      </c>
      <c r="D246" s="4">
        <v>1</v>
      </c>
      <c r="E246" s="4">
        <v>211</v>
      </c>
      <c r="F246" s="4">
        <f>ROUND(Source!Y220,O246)</f>
        <v>42132</v>
      </c>
      <c r="G246" s="4" t="s">
        <v>152</v>
      </c>
      <c r="H246" s="4" t="s">
        <v>153</v>
      </c>
      <c r="I246" s="4"/>
      <c r="J246" s="4"/>
      <c r="K246" s="4">
        <v>211</v>
      </c>
      <c r="L246" s="4">
        <v>25</v>
      </c>
      <c r="M246" s="4">
        <v>3</v>
      </c>
      <c r="N246" s="4" t="s">
        <v>3</v>
      </c>
      <c r="O246" s="4">
        <v>0</v>
      </c>
      <c r="P246" s="4"/>
      <c r="Q246" s="4"/>
      <c r="R246" s="4"/>
      <c r="S246" s="4"/>
      <c r="T246" s="4"/>
      <c r="U246" s="4"/>
      <c r="V246" s="4"/>
      <c r="W246" s="4"/>
    </row>
    <row r="247" spans="1:23">
      <c r="A247" s="4">
        <v>50</v>
      </c>
      <c r="B247" s="4">
        <v>0</v>
      </c>
      <c r="C247" s="4">
        <v>0</v>
      </c>
      <c r="D247" s="4">
        <v>1</v>
      </c>
      <c r="E247" s="4">
        <v>224</v>
      </c>
      <c r="F247" s="4">
        <f>ROUND(Source!AR220,O247)</f>
        <v>342495</v>
      </c>
      <c r="G247" s="4" t="s">
        <v>154</v>
      </c>
      <c r="H247" s="4" t="s">
        <v>155</v>
      </c>
      <c r="I247" s="4"/>
      <c r="J247" s="4"/>
      <c r="K247" s="4">
        <v>224</v>
      </c>
      <c r="L247" s="4">
        <v>26</v>
      </c>
      <c r="M247" s="4">
        <v>3</v>
      </c>
      <c r="N247" s="4" t="s">
        <v>3</v>
      </c>
      <c r="O247" s="4">
        <v>0</v>
      </c>
      <c r="P247" s="4"/>
      <c r="Q247" s="4"/>
      <c r="R247" s="4"/>
      <c r="S247" s="4"/>
      <c r="T247" s="4"/>
      <c r="U247" s="4"/>
      <c r="V247" s="4"/>
      <c r="W247" s="4"/>
    </row>
    <row r="248" spans="1:23">
      <c r="A248" s="4">
        <v>50</v>
      </c>
      <c r="B248" s="4">
        <v>1</v>
      </c>
      <c r="C248" s="4">
        <v>0</v>
      </c>
      <c r="D248" s="4">
        <v>2</v>
      </c>
      <c r="E248" s="4">
        <v>0</v>
      </c>
      <c r="F248" s="4">
        <f>ROUND(F235,O248)</f>
        <v>81371</v>
      </c>
      <c r="G248" s="4" t="s">
        <v>424</v>
      </c>
      <c r="H248" s="4" t="s">
        <v>130</v>
      </c>
      <c r="I248" s="4"/>
      <c r="J248" s="4"/>
      <c r="K248" s="4">
        <v>212</v>
      </c>
      <c r="L248" s="4">
        <v>27</v>
      </c>
      <c r="M248" s="4">
        <v>0</v>
      </c>
      <c r="N248" s="4" t="s">
        <v>3</v>
      </c>
      <c r="O248" s="4">
        <v>0</v>
      </c>
      <c r="P248" s="4"/>
      <c r="Q248" s="4"/>
      <c r="R248" s="4"/>
      <c r="S248" s="4"/>
      <c r="T248" s="4"/>
      <c r="U248" s="4"/>
      <c r="V248" s="4"/>
      <c r="W248" s="4"/>
    </row>
    <row r="249" spans="1:23">
      <c r="A249" s="4">
        <v>50</v>
      </c>
      <c r="B249" s="4">
        <v>1</v>
      </c>
      <c r="C249" s="4">
        <v>0</v>
      </c>
      <c r="D249" s="4">
        <v>2</v>
      </c>
      <c r="E249" s="4">
        <v>0</v>
      </c>
      <c r="F249" s="4">
        <f>ROUND(F234,O249)</f>
        <v>2073</v>
      </c>
      <c r="G249" s="4" t="s">
        <v>425</v>
      </c>
      <c r="H249" s="4" t="s">
        <v>426</v>
      </c>
      <c r="I249" s="4"/>
      <c r="J249" s="4"/>
      <c r="K249" s="4">
        <v>212</v>
      </c>
      <c r="L249" s="4">
        <v>28</v>
      </c>
      <c r="M249" s="4">
        <v>0</v>
      </c>
      <c r="N249" s="4" t="s">
        <v>3</v>
      </c>
      <c r="O249" s="4">
        <v>0</v>
      </c>
      <c r="P249" s="4"/>
      <c r="Q249" s="4"/>
      <c r="R249" s="4"/>
      <c r="S249" s="4"/>
      <c r="T249" s="4"/>
      <c r="U249" s="4"/>
      <c r="V249" s="4"/>
      <c r="W249" s="4"/>
    </row>
    <row r="250" spans="1:23">
      <c r="A250" s="4">
        <v>50</v>
      </c>
      <c r="B250" s="4">
        <v>1</v>
      </c>
      <c r="C250" s="4">
        <v>0</v>
      </c>
      <c r="D250" s="4">
        <v>2</v>
      </c>
      <c r="E250" s="4">
        <v>0</v>
      </c>
      <c r="F250" s="4">
        <f>ROUND(F232,O250)</f>
        <v>4541</v>
      </c>
      <c r="G250" s="4" t="s">
        <v>427</v>
      </c>
      <c r="H250" s="4" t="s">
        <v>428</v>
      </c>
      <c r="I250" s="4"/>
      <c r="J250" s="4"/>
      <c r="K250" s="4">
        <v>212</v>
      </c>
      <c r="L250" s="4">
        <v>29</v>
      </c>
      <c r="M250" s="4">
        <v>0</v>
      </c>
      <c r="N250" s="4" t="s">
        <v>3</v>
      </c>
      <c r="O250" s="4">
        <v>0</v>
      </c>
      <c r="P250" s="4"/>
      <c r="Q250" s="4"/>
      <c r="R250" s="4"/>
      <c r="S250" s="4"/>
      <c r="T250" s="4"/>
      <c r="U250" s="4"/>
      <c r="V250" s="4"/>
      <c r="W250" s="4"/>
    </row>
    <row r="251" spans="1:23">
      <c r="A251" s="4">
        <v>50</v>
      </c>
      <c r="B251" s="4">
        <v>1</v>
      </c>
      <c r="C251" s="4">
        <v>0</v>
      </c>
      <c r="D251" s="4">
        <v>2</v>
      </c>
      <c r="E251" s="4">
        <v>0</v>
      </c>
      <c r="F251" s="4">
        <f>ROUND(F223,O251)</f>
        <v>156144</v>
      </c>
      <c r="G251" s="4" t="s">
        <v>429</v>
      </c>
      <c r="H251" s="4" t="s">
        <v>430</v>
      </c>
      <c r="I251" s="4"/>
      <c r="J251" s="4"/>
      <c r="K251" s="4">
        <v>212</v>
      </c>
      <c r="L251" s="4">
        <v>30</v>
      </c>
      <c r="M251" s="4">
        <v>0</v>
      </c>
      <c r="N251" s="4" t="s">
        <v>3</v>
      </c>
      <c r="O251" s="4">
        <v>0</v>
      </c>
      <c r="P251" s="4"/>
      <c r="Q251" s="4"/>
      <c r="R251" s="4"/>
      <c r="S251" s="4"/>
      <c r="T251" s="4"/>
      <c r="U251" s="4"/>
      <c r="V251" s="4"/>
      <c r="W251" s="4"/>
    </row>
    <row r="252" spans="1:23">
      <c r="A252" s="4">
        <v>50</v>
      </c>
      <c r="B252" s="4">
        <v>1</v>
      </c>
      <c r="C252" s="4">
        <v>0</v>
      </c>
      <c r="D252" s="4">
        <v>2</v>
      </c>
      <c r="E252" s="4">
        <v>0</v>
      </c>
      <c r="F252" s="4">
        <f>ROUND(F245,O252)</f>
        <v>58307</v>
      </c>
      <c r="G252" s="4" t="s">
        <v>431</v>
      </c>
      <c r="H252" s="4" t="s">
        <v>150</v>
      </c>
      <c r="I252" s="4"/>
      <c r="J252" s="4"/>
      <c r="K252" s="4">
        <v>212</v>
      </c>
      <c r="L252" s="4">
        <v>31</v>
      </c>
      <c r="M252" s="4">
        <v>0</v>
      </c>
      <c r="N252" s="4" t="s">
        <v>3</v>
      </c>
      <c r="O252" s="4">
        <v>0</v>
      </c>
      <c r="P252" s="4"/>
      <c r="Q252" s="4"/>
      <c r="R252" s="4"/>
      <c r="S252" s="4"/>
      <c r="T252" s="4"/>
      <c r="U252" s="4"/>
      <c r="V252" s="4"/>
      <c r="W252" s="4"/>
    </row>
    <row r="253" spans="1:23">
      <c r="A253" s="4">
        <v>50</v>
      </c>
      <c r="B253" s="4">
        <v>1</v>
      </c>
      <c r="C253" s="4">
        <v>0</v>
      </c>
      <c r="D253" s="4">
        <v>2</v>
      </c>
      <c r="E253" s="4">
        <v>0</v>
      </c>
      <c r="F253" s="4">
        <f>ROUND(F246,O253)</f>
        <v>42132</v>
      </c>
      <c r="G253" s="4" t="s">
        <v>432</v>
      </c>
      <c r="H253" s="4" t="s">
        <v>433</v>
      </c>
      <c r="I253" s="4"/>
      <c r="J253" s="4"/>
      <c r="K253" s="4">
        <v>212</v>
      </c>
      <c r="L253" s="4">
        <v>32</v>
      </c>
      <c r="M253" s="4">
        <v>0</v>
      </c>
      <c r="N253" s="4" t="s">
        <v>3</v>
      </c>
      <c r="O253" s="4">
        <v>0</v>
      </c>
      <c r="P253" s="4"/>
      <c r="Q253" s="4"/>
      <c r="R253" s="4"/>
      <c r="S253" s="4"/>
      <c r="T253" s="4"/>
      <c r="U253" s="4"/>
      <c r="V253" s="4"/>
      <c r="W253" s="4"/>
    </row>
    <row r="254" spans="1:23">
      <c r="A254" s="4">
        <v>50</v>
      </c>
      <c r="B254" s="4">
        <v>1</v>
      </c>
      <c r="C254" s="4">
        <v>0</v>
      </c>
      <c r="D254" s="4">
        <v>2</v>
      </c>
      <c r="E254" s="4">
        <v>0</v>
      </c>
      <c r="F254" s="4">
        <f>ROUND(F248+F250+F251+F252+F253,O254)</f>
        <v>342495</v>
      </c>
      <c r="G254" s="4" t="s">
        <v>434</v>
      </c>
      <c r="H254" s="4" t="s">
        <v>154</v>
      </c>
      <c r="I254" s="4"/>
      <c r="J254" s="4"/>
      <c r="K254" s="4">
        <v>212</v>
      </c>
      <c r="L254" s="4">
        <v>33</v>
      </c>
      <c r="M254" s="4">
        <v>0</v>
      </c>
      <c r="N254" s="4" t="s">
        <v>3</v>
      </c>
      <c r="O254" s="4">
        <v>0</v>
      </c>
      <c r="P254" s="4"/>
      <c r="Q254" s="4"/>
      <c r="R254" s="4"/>
      <c r="S254" s="4"/>
      <c r="T254" s="4"/>
      <c r="U254" s="4"/>
      <c r="V254" s="4"/>
      <c r="W254" s="4"/>
    </row>
    <row r="255" spans="1:23">
      <c r="A255" s="4">
        <v>50</v>
      </c>
      <c r="B255" s="4">
        <v>1</v>
      </c>
      <c r="C255" s="4">
        <v>0</v>
      </c>
      <c r="D255" s="4">
        <v>2</v>
      </c>
      <c r="E255" s="4">
        <v>0</v>
      </c>
      <c r="F255" s="4">
        <f>ROUND((F251+F250-F249+F252*0.1712+F253*0.15)*0.2,O255)</f>
        <v>34983</v>
      </c>
      <c r="G255" s="4" t="s">
        <v>435</v>
      </c>
      <c r="H255" s="4" t="s">
        <v>436</v>
      </c>
      <c r="I255" s="4"/>
      <c r="J255" s="4"/>
      <c r="K255" s="4">
        <v>212</v>
      </c>
      <c r="L255" s="4">
        <v>34</v>
      </c>
      <c r="M255" s="4">
        <v>0</v>
      </c>
      <c r="N255" s="4" t="s">
        <v>437</v>
      </c>
      <c r="O255" s="4">
        <v>0</v>
      </c>
      <c r="P255" s="4"/>
      <c r="Q255" s="4"/>
      <c r="R255" s="4"/>
      <c r="S255" s="4"/>
      <c r="T255" s="4"/>
      <c r="U255" s="4"/>
      <c r="V255" s="4"/>
      <c r="W255" s="4"/>
    </row>
    <row r="256" spans="1:23">
      <c r="A256" s="4">
        <v>50</v>
      </c>
      <c r="B256" s="4">
        <v>1</v>
      </c>
      <c r="C256" s="4">
        <v>0</v>
      </c>
      <c r="D256" s="4">
        <v>2</v>
      </c>
      <c r="E256" s="4">
        <v>213</v>
      </c>
      <c r="F256" s="4">
        <f>ROUND(F254+F255,O256)</f>
        <v>377478</v>
      </c>
      <c r="G256" s="4" t="s">
        <v>438</v>
      </c>
      <c r="H256" s="4" t="s">
        <v>439</v>
      </c>
      <c r="I256" s="4"/>
      <c r="J256" s="4"/>
      <c r="K256" s="4">
        <v>212</v>
      </c>
      <c r="L256" s="4">
        <v>35</v>
      </c>
      <c r="M256" s="4">
        <v>0</v>
      </c>
      <c r="N256" s="4" t="s">
        <v>3</v>
      </c>
      <c r="O256" s="4">
        <v>0</v>
      </c>
      <c r="P256" s="4"/>
      <c r="Q256" s="4"/>
      <c r="R256" s="4"/>
      <c r="S256" s="4"/>
      <c r="T256" s="4"/>
      <c r="U256" s="4"/>
      <c r="V256" s="4"/>
      <c r="W256" s="4"/>
    </row>
    <row r="258" spans="1:206">
      <c r="A258" s="2">
        <v>51</v>
      </c>
      <c r="B258" s="2">
        <f>B12</f>
        <v>328</v>
      </c>
      <c r="C258" s="2">
        <f>A12</f>
        <v>1</v>
      </c>
      <c r="D258" s="2">
        <f>ROW(A12)</f>
        <v>12</v>
      </c>
      <c r="E258" s="2"/>
      <c r="F258" s="2" t="str">
        <f>IF(F12&lt;&gt;"",F12,"")</f>
        <v>02-01</v>
      </c>
      <c r="G258" s="2" t="str">
        <f>IF(G12&lt;&gt;"",G12,"")</f>
        <v xml:space="preserve"> Санузел для МГН, аптечный склад</v>
      </c>
      <c r="H258" s="2">
        <v>0</v>
      </c>
      <c r="I258" s="2"/>
      <c r="J258" s="2"/>
      <c r="K258" s="2"/>
      <c r="L258" s="2"/>
      <c r="M258" s="2"/>
      <c r="N258" s="2"/>
      <c r="O258" s="2">
        <f t="shared" ref="O258:T258" si="230">ROUND(O220,0)</f>
        <v>242056</v>
      </c>
      <c r="P258" s="2">
        <f t="shared" si="230"/>
        <v>156144</v>
      </c>
      <c r="Q258" s="2">
        <f t="shared" si="230"/>
        <v>4541</v>
      </c>
      <c r="R258" s="2">
        <f t="shared" si="230"/>
        <v>2073</v>
      </c>
      <c r="S258" s="2">
        <f t="shared" si="230"/>
        <v>81371</v>
      </c>
      <c r="T258" s="2">
        <f t="shared" si="230"/>
        <v>0</v>
      </c>
      <c r="U258" s="2">
        <f>U220</f>
        <v>468.74874079999984</v>
      </c>
      <c r="V258" s="2">
        <f>V220</f>
        <v>9.8130142499999984</v>
      </c>
      <c r="W258" s="2">
        <f>ROUND(W220,0)</f>
        <v>0</v>
      </c>
      <c r="X258" s="2">
        <f>ROUND(X220,0)</f>
        <v>58307</v>
      </c>
      <c r="Y258" s="2">
        <f>ROUND(Y220,0)</f>
        <v>42132</v>
      </c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>
        <f t="shared" ref="AO258:BC258" si="231">ROUND(AO220,0)</f>
        <v>0</v>
      </c>
      <c r="AP258" s="2">
        <f t="shared" si="231"/>
        <v>0</v>
      </c>
      <c r="AQ258" s="2">
        <f t="shared" si="231"/>
        <v>0</v>
      </c>
      <c r="AR258" s="2">
        <f t="shared" si="231"/>
        <v>342495</v>
      </c>
      <c r="AS258" s="2">
        <f t="shared" si="231"/>
        <v>340345</v>
      </c>
      <c r="AT258" s="2">
        <f t="shared" si="231"/>
        <v>2150</v>
      </c>
      <c r="AU258" s="2">
        <f t="shared" si="231"/>
        <v>0</v>
      </c>
      <c r="AV258" s="2">
        <f t="shared" si="231"/>
        <v>156144</v>
      </c>
      <c r="AW258" s="2">
        <f t="shared" si="231"/>
        <v>156144</v>
      </c>
      <c r="AX258" s="2">
        <f t="shared" si="231"/>
        <v>0</v>
      </c>
      <c r="AY258" s="2">
        <f t="shared" si="231"/>
        <v>156144</v>
      </c>
      <c r="AZ258" s="2">
        <f t="shared" si="231"/>
        <v>0</v>
      </c>
      <c r="BA258" s="2">
        <f t="shared" si="231"/>
        <v>0</v>
      </c>
      <c r="BB258" s="2">
        <f t="shared" si="231"/>
        <v>0</v>
      </c>
      <c r="BC258" s="2">
        <f t="shared" si="231"/>
        <v>0</v>
      </c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>
        <v>0</v>
      </c>
    </row>
    <row r="260" spans="1:206">
      <c r="A260" s="4">
        <v>50</v>
      </c>
      <c r="B260" s="4">
        <v>0</v>
      </c>
      <c r="C260" s="4">
        <v>0</v>
      </c>
      <c r="D260" s="4">
        <v>1</v>
      </c>
      <c r="E260" s="4">
        <v>201</v>
      </c>
      <c r="F260" s="4">
        <f>ROUND(Source!O258,O260)</f>
        <v>242056</v>
      </c>
      <c r="G260" s="4" t="s">
        <v>104</v>
      </c>
      <c r="H260" s="4" t="s">
        <v>105</v>
      </c>
      <c r="I260" s="4"/>
      <c r="J260" s="4"/>
      <c r="K260" s="4">
        <v>201</v>
      </c>
      <c r="L260" s="4">
        <v>1</v>
      </c>
      <c r="M260" s="4">
        <v>3</v>
      </c>
      <c r="N260" s="4" t="s">
        <v>3</v>
      </c>
      <c r="O260" s="4">
        <v>0</v>
      </c>
      <c r="P260" s="4"/>
      <c r="Q260" s="4"/>
      <c r="R260" s="4"/>
      <c r="S260" s="4"/>
      <c r="T260" s="4"/>
      <c r="U260" s="4"/>
      <c r="V260" s="4"/>
      <c r="W260" s="4"/>
    </row>
    <row r="261" spans="1:206">
      <c r="A261" s="4">
        <v>50</v>
      </c>
      <c r="B261" s="4">
        <v>0</v>
      </c>
      <c r="C261" s="4">
        <v>0</v>
      </c>
      <c r="D261" s="4">
        <v>1</v>
      </c>
      <c r="E261" s="4">
        <v>202</v>
      </c>
      <c r="F261" s="4">
        <f>ROUND(Source!P258,O261)</f>
        <v>156144</v>
      </c>
      <c r="G261" s="4" t="s">
        <v>106</v>
      </c>
      <c r="H261" s="4" t="s">
        <v>107</v>
      </c>
      <c r="I261" s="4"/>
      <c r="J261" s="4"/>
      <c r="K261" s="4">
        <v>202</v>
      </c>
      <c r="L261" s="4">
        <v>2</v>
      </c>
      <c r="M261" s="4">
        <v>3</v>
      </c>
      <c r="N261" s="4" t="s">
        <v>3</v>
      </c>
      <c r="O261" s="4">
        <v>0</v>
      </c>
      <c r="P261" s="4"/>
      <c r="Q261" s="4"/>
      <c r="R261" s="4"/>
      <c r="S261" s="4"/>
      <c r="T261" s="4"/>
      <c r="U261" s="4"/>
      <c r="V261" s="4"/>
      <c r="W261" s="4"/>
    </row>
    <row r="262" spans="1:206">
      <c r="A262" s="4">
        <v>50</v>
      </c>
      <c r="B262" s="4">
        <v>0</v>
      </c>
      <c r="C262" s="4">
        <v>0</v>
      </c>
      <c r="D262" s="4">
        <v>1</v>
      </c>
      <c r="E262" s="4">
        <v>222</v>
      </c>
      <c r="F262" s="4">
        <f>ROUND(Source!AO258,O262)</f>
        <v>0</v>
      </c>
      <c r="G262" s="4" t="s">
        <v>108</v>
      </c>
      <c r="H262" s="4" t="s">
        <v>109</v>
      </c>
      <c r="I262" s="4"/>
      <c r="J262" s="4"/>
      <c r="K262" s="4">
        <v>222</v>
      </c>
      <c r="L262" s="4">
        <v>3</v>
      </c>
      <c r="M262" s="4">
        <v>3</v>
      </c>
      <c r="N262" s="4" t="s">
        <v>3</v>
      </c>
      <c r="O262" s="4">
        <v>0</v>
      </c>
      <c r="P262" s="4"/>
      <c r="Q262" s="4"/>
      <c r="R262" s="4"/>
      <c r="S262" s="4"/>
      <c r="T262" s="4"/>
      <c r="U262" s="4"/>
      <c r="V262" s="4"/>
      <c r="W262" s="4"/>
    </row>
    <row r="263" spans="1:206">
      <c r="A263" s="4">
        <v>50</v>
      </c>
      <c r="B263" s="4">
        <v>0</v>
      </c>
      <c r="C263" s="4">
        <v>0</v>
      </c>
      <c r="D263" s="4">
        <v>1</v>
      </c>
      <c r="E263" s="4">
        <v>225</v>
      </c>
      <c r="F263" s="4">
        <f>ROUND(Source!AV258,O263)</f>
        <v>156144</v>
      </c>
      <c r="G263" s="4" t="s">
        <v>110</v>
      </c>
      <c r="H263" s="4" t="s">
        <v>111</v>
      </c>
      <c r="I263" s="4"/>
      <c r="J263" s="4"/>
      <c r="K263" s="4">
        <v>225</v>
      </c>
      <c r="L263" s="4">
        <v>4</v>
      </c>
      <c r="M263" s="4">
        <v>3</v>
      </c>
      <c r="N263" s="4" t="s">
        <v>3</v>
      </c>
      <c r="O263" s="4">
        <v>0</v>
      </c>
      <c r="P263" s="4"/>
      <c r="Q263" s="4"/>
      <c r="R263" s="4"/>
      <c r="S263" s="4"/>
      <c r="T263" s="4"/>
      <c r="U263" s="4"/>
      <c r="V263" s="4"/>
      <c r="W263" s="4"/>
    </row>
    <row r="264" spans="1:206">
      <c r="A264" s="4">
        <v>50</v>
      </c>
      <c r="B264" s="4">
        <v>0</v>
      </c>
      <c r="C264" s="4">
        <v>0</v>
      </c>
      <c r="D264" s="4">
        <v>1</v>
      </c>
      <c r="E264" s="4">
        <v>226</v>
      </c>
      <c r="F264" s="4">
        <f>ROUND(Source!AW258,O264)</f>
        <v>156144</v>
      </c>
      <c r="G264" s="4" t="s">
        <v>112</v>
      </c>
      <c r="H264" s="4" t="s">
        <v>113</v>
      </c>
      <c r="I264" s="4"/>
      <c r="J264" s="4"/>
      <c r="K264" s="4">
        <v>226</v>
      </c>
      <c r="L264" s="4">
        <v>5</v>
      </c>
      <c r="M264" s="4">
        <v>3</v>
      </c>
      <c r="N264" s="4" t="s">
        <v>3</v>
      </c>
      <c r="O264" s="4">
        <v>0</v>
      </c>
      <c r="P264" s="4"/>
      <c r="Q264" s="4"/>
      <c r="R264" s="4"/>
      <c r="S264" s="4"/>
      <c r="T264" s="4"/>
      <c r="U264" s="4"/>
      <c r="V264" s="4"/>
      <c r="W264" s="4"/>
    </row>
    <row r="265" spans="1:206">
      <c r="A265" s="4">
        <v>50</v>
      </c>
      <c r="B265" s="4">
        <v>0</v>
      </c>
      <c r="C265" s="4">
        <v>0</v>
      </c>
      <c r="D265" s="4">
        <v>1</v>
      </c>
      <c r="E265" s="4">
        <v>227</v>
      </c>
      <c r="F265" s="4">
        <f>ROUND(Source!AX258,O265)</f>
        <v>0</v>
      </c>
      <c r="G265" s="4" t="s">
        <v>114</v>
      </c>
      <c r="H265" s="4" t="s">
        <v>115</v>
      </c>
      <c r="I265" s="4"/>
      <c r="J265" s="4"/>
      <c r="K265" s="4">
        <v>227</v>
      </c>
      <c r="L265" s="4">
        <v>6</v>
      </c>
      <c r="M265" s="4">
        <v>3</v>
      </c>
      <c r="N265" s="4" t="s">
        <v>3</v>
      </c>
      <c r="O265" s="4">
        <v>0</v>
      </c>
      <c r="P265" s="4"/>
      <c r="Q265" s="4"/>
      <c r="R265" s="4"/>
      <c r="S265" s="4"/>
      <c r="T265" s="4"/>
      <c r="U265" s="4"/>
      <c r="V265" s="4"/>
      <c r="W265" s="4"/>
    </row>
    <row r="266" spans="1:206">
      <c r="A266" s="4">
        <v>50</v>
      </c>
      <c r="B266" s="4">
        <v>0</v>
      </c>
      <c r="C266" s="4">
        <v>0</v>
      </c>
      <c r="D266" s="4">
        <v>1</v>
      </c>
      <c r="E266" s="4">
        <v>228</v>
      </c>
      <c r="F266" s="4">
        <f>ROUND(Source!AY258,O266)</f>
        <v>156144</v>
      </c>
      <c r="G266" s="4" t="s">
        <v>116</v>
      </c>
      <c r="H266" s="4" t="s">
        <v>117</v>
      </c>
      <c r="I266" s="4"/>
      <c r="J266" s="4"/>
      <c r="K266" s="4">
        <v>228</v>
      </c>
      <c r="L266" s="4">
        <v>7</v>
      </c>
      <c r="M266" s="4">
        <v>3</v>
      </c>
      <c r="N266" s="4" t="s">
        <v>3</v>
      </c>
      <c r="O266" s="4">
        <v>0</v>
      </c>
      <c r="P266" s="4"/>
      <c r="Q266" s="4"/>
      <c r="R266" s="4"/>
      <c r="S266" s="4"/>
      <c r="T266" s="4"/>
      <c r="U266" s="4"/>
      <c r="V266" s="4"/>
      <c r="W266" s="4"/>
    </row>
    <row r="267" spans="1:206">
      <c r="A267" s="4">
        <v>50</v>
      </c>
      <c r="B267" s="4">
        <v>0</v>
      </c>
      <c r="C267" s="4">
        <v>0</v>
      </c>
      <c r="D267" s="4">
        <v>1</v>
      </c>
      <c r="E267" s="4">
        <v>216</v>
      </c>
      <c r="F267" s="4">
        <f>ROUND(Source!AP258,O267)</f>
        <v>0</v>
      </c>
      <c r="G267" s="4" t="s">
        <v>118</v>
      </c>
      <c r="H267" s="4" t="s">
        <v>119</v>
      </c>
      <c r="I267" s="4"/>
      <c r="J267" s="4"/>
      <c r="K267" s="4">
        <v>216</v>
      </c>
      <c r="L267" s="4">
        <v>8</v>
      </c>
      <c r="M267" s="4">
        <v>3</v>
      </c>
      <c r="N267" s="4" t="s">
        <v>3</v>
      </c>
      <c r="O267" s="4">
        <v>0</v>
      </c>
      <c r="P267" s="4"/>
      <c r="Q267" s="4"/>
      <c r="R267" s="4"/>
      <c r="S267" s="4"/>
      <c r="T267" s="4"/>
      <c r="U267" s="4"/>
      <c r="V267" s="4"/>
      <c r="W267" s="4"/>
    </row>
    <row r="268" spans="1:206">
      <c r="A268" s="4">
        <v>50</v>
      </c>
      <c r="B268" s="4">
        <v>0</v>
      </c>
      <c r="C268" s="4">
        <v>0</v>
      </c>
      <c r="D268" s="4">
        <v>1</v>
      </c>
      <c r="E268" s="4">
        <v>223</v>
      </c>
      <c r="F268" s="4">
        <f>ROUND(Source!AQ258,O268)</f>
        <v>0</v>
      </c>
      <c r="G268" s="4" t="s">
        <v>120</v>
      </c>
      <c r="H268" s="4" t="s">
        <v>121</v>
      </c>
      <c r="I268" s="4"/>
      <c r="J268" s="4"/>
      <c r="K268" s="4">
        <v>223</v>
      </c>
      <c r="L268" s="4">
        <v>9</v>
      </c>
      <c r="M268" s="4">
        <v>3</v>
      </c>
      <c r="N268" s="4" t="s">
        <v>3</v>
      </c>
      <c r="O268" s="4">
        <v>0</v>
      </c>
      <c r="P268" s="4"/>
      <c r="Q268" s="4"/>
      <c r="R268" s="4"/>
      <c r="S268" s="4"/>
      <c r="T268" s="4"/>
      <c r="U268" s="4"/>
      <c r="V268" s="4"/>
      <c r="W268" s="4"/>
    </row>
    <row r="269" spans="1:206">
      <c r="A269" s="4">
        <v>50</v>
      </c>
      <c r="B269" s="4">
        <v>0</v>
      </c>
      <c r="C269" s="4">
        <v>0</v>
      </c>
      <c r="D269" s="4">
        <v>1</v>
      </c>
      <c r="E269" s="4">
        <v>229</v>
      </c>
      <c r="F269" s="4">
        <f>ROUND(Source!AZ258,O269)</f>
        <v>0</v>
      </c>
      <c r="G269" s="4" t="s">
        <v>122</v>
      </c>
      <c r="H269" s="4" t="s">
        <v>123</v>
      </c>
      <c r="I269" s="4"/>
      <c r="J269" s="4"/>
      <c r="K269" s="4">
        <v>229</v>
      </c>
      <c r="L269" s="4">
        <v>10</v>
      </c>
      <c r="M269" s="4">
        <v>3</v>
      </c>
      <c r="N269" s="4" t="s">
        <v>3</v>
      </c>
      <c r="O269" s="4">
        <v>0</v>
      </c>
      <c r="P269" s="4"/>
      <c r="Q269" s="4"/>
      <c r="R269" s="4"/>
      <c r="S269" s="4"/>
      <c r="T269" s="4"/>
      <c r="U269" s="4"/>
      <c r="V269" s="4"/>
      <c r="W269" s="4"/>
    </row>
    <row r="270" spans="1:206">
      <c r="A270" s="4">
        <v>50</v>
      </c>
      <c r="B270" s="4">
        <v>0</v>
      </c>
      <c r="C270" s="4">
        <v>0</v>
      </c>
      <c r="D270" s="4">
        <v>1</v>
      </c>
      <c r="E270" s="4">
        <v>203</v>
      </c>
      <c r="F270" s="4">
        <f>ROUND(Source!Q258,O270)</f>
        <v>4541</v>
      </c>
      <c r="G270" s="4" t="s">
        <v>124</v>
      </c>
      <c r="H270" s="4" t="s">
        <v>125</v>
      </c>
      <c r="I270" s="4"/>
      <c r="J270" s="4"/>
      <c r="K270" s="4">
        <v>203</v>
      </c>
      <c r="L270" s="4">
        <v>11</v>
      </c>
      <c r="M270" s="4">
        <v>3</v>
      </c>
      <c r="N270" s="4" t="s">
        <v>3</v>
      </c>
      <c r="O270" s="4">
        <v>0</v>
      </c>
      <c r="P270" s="4"/>
      <c r="Q270" s="4"/>
      <c r="R270" s="4"/>
      <c r="S270" s="4"/>
      <c r="T270" s="4"/>
      <c r="U270" s="4"/>
      <c r="V270" s="4"/>
      <c r="W270" s="4"/>
    </row>
    <row r="271" spans="1:206">
      <c r="A271" s="4">
        <v>50</v>
      </c>
      <c r="B271" s="4">
        <v>0</v>
      </c>
      <c r="C271" s="4">
        <v>0</v>
      </c>
      <c r="D271" s="4">
        <v>1</v>
      </c>
      <c r="E271" s="4">
        <v>231</v>
      </c>
      <c r="F271" s="4">
        <f>ROUND(Source!BB258,O271)</f>
        <v>0</v>
      </c>
      <c r="G271" s="4" t="s">
        <v>126</v>
      </c>
      <c r="H271" s="4" t="s">
        <v>127</v>
      </c>
      <c r="I271" s="4"/>
      <c r="J271" s="4"/>
      <c r="K271" s="4">
        <v>231</v>
      </c>
      <c r="L271" s="4">
        <v>12</v>
      </c>
      <c r="M271" s="4">
        <v>3</v>
      </c>
      <c r="N271" s="4" t="s">
        <v>3</v>
      </c>
      <c r="O271" s="4">
        <v>0</v>
      </c>
      <c r="P271" s="4"/>
      <c r="Q271" s="4"/>
      <c r="R271" s="4"/>
      <c r="S271" s="4"/>
      <c r="T271" s="4"/>
      <c r="U271" s="4"/>
      <c r="V271" s="4"/>
      <c r="W271" s="4"/>
    </row>
    <row r="272" spans="1:206">
      <c r="A272" s="4">
        <v>50</v>
      </c>
      <c r="B272" s="4">
        <v>0</v>
      </c>
      <c r="C272" s="4">
        <v>0</v>
      </c>
      <c r="D272" s="4">
        <v>1</v>
      </c>
      <c r="E272" s="4">
        <v>204</v>
      </c>
      <c r="F272" s="4">
        <f>ROUND(Source!R258,O272)</f>
        <v>2073</v>
      </c>
      <c r="G272" s="4" t="s">
        <v>128</v>
      </c>
      <c r="H272" s="4" t="s">
        <v>129</v>
      </c>
      <c r="I272" s="4"/>
      <c r="J272" s="4"/>
      <c r="K272" s="4">
        <v>204</v>
      </c>
      <c r="L272" s="4">
        <v>13</v>
      </c>
      <c r="M272" s="4">
        <v>3</v>
      </c>
      <c r="N272" s="4" t="s">
        <v>3</v>
      </c>
      <c r="O272" s="4">
        <v>0</v>
      </c>
      <c r="P272" s="4"/>
      <c r="Q272" s="4"/>
      <c r="R272" s="4"/>
      <c r="S272" s="4"/>
      <c r="T272" s="4"/>
      <c r="U272" s="4"/>
      <c r="V272" s="4"/>
      <c r="W272" s="4"/>
    </row>
    <row r="273" spans="1:23">
      <c r="A273" s="4">
        <v>50</v>
      </c>
      <c r="B273" s="4">
        <v>0</v>
      </c>
      <c r="C273" s="4">
        <v>0</v>
      </c>
      <c r="D273" s="4">
        <v>1</v>
      </c>
      <c r="E273" s="4">
        <v>205</v>
      </c>
      <c r="F273" s="4">
        <f>ROUND(Source!S258,O273)</f>
        <v>81371</v>
      </c>
      <c r="G273" s="4" t="s">
        <v>130</v>
      </c>
      <c r="H273" s="4" t="s">
        <v>131</v>
      </c>
      <c r="I273" s="4"/>
      <c r="J273" s="4"/>
      <c r="K273" s="4">
        <v>205</v>
      </c>
      <c r="L273" s="4">
        <v>14</v>
      </c>
      <c r="M273" s="4">
        <v>3</v>
      </c>
      <c r="N273" s="4" t="s">
        <v>3</v>
      </c>
      <c r="O273" s="4">
        <v>0</v>
      </c>
      <c r="P273" s="4"/>
      <c r="Q273" s="4"/>
      <c r="R273" s="4"/>
      <c r="S273" s="4"/>
      <c r="T273" s="4"/>
      <c r="U273" s="4"/>
      <c r="V273" s="4"/>
      <c r="W273" s="4"/>
    </row>
    <row r="274" spans="1:23">
      <c r="A274" s="4">
        <v>50</v>
      </c>
      <c r="B274" s="4">
        <v>0</v>
      </c>
      <c r="C274" s="4">
        <v>0</v>
      </c>
      <c r="D274" s="4">
        <v>1</v>
      </c>
      <c r="E274" s="4">
        <v>232</v>
      </c>
      <c r="F274" s="4">
        <f>ROUND(Source!BC258,O274)</f>
        <v>0</v>
      </c>
      <c r="G274" s="4" t="s">
        <v>132</v>
      </c>
      <c r="H274" s="4" t="s">
        <v>133</v>
      </c>
      <c r="I274" s="4"/>
      <c r="J274" s="4"/>
      <c r="K274" s="4">
        <v>232</v>
      </c>
      <c r="L274" s="4">
        <v>15</v>
      </c>
      <c r="M274" s="4">
        <v>3</v>
      </c>
      <c r="N274" s="4" t="s">
        <v>3</v>
      </c>
      <c r="O274" s="4">
        <v>0</v>
      </c>
      <c r="P274" s="4"/>
      <c r="Q274" s="4"/>
      <c r="R274" s="4"/>
      <c r="S274" s="4"/>
      <c r="T274" s="4"/>
      <c r="U274" s="4"/>
      <c r="V274" s="4"/>
      <c r="W274" s="4"/>
    </row>
    <row r="275" spans="1:23">
      <c r="A275" s="4">
        <v>50</v>
      </c>
      <c r="B275" s="4">
        <v>0</v>
      </c>
      <c r="C275" s="4">
        <v>0</v>
      </c>
      <c r="D275" s="4">
        <v>1</v>
      </c>
      <c r="E275" s="4">
        <v>214</v>
      </c>
      <c r="F275" s="4">
        <f>ROUND(Source!AS258,O275)</f>
        <v>340345</v>
      </c>
      <c r="G275" s="4" t="s">
        <v>134</v>
      </c>
      <c r="H275" s="4" t="s">
        <v>135</v>
      </c>
      <c r="I275" s="4"/>
      <c r="J275" s="4"/>
      <c r="K275" s="4">
        <v>214</v>
      </c>
      <c r="L275" s="4">
        <v>16</v>
      </c>
      <c r="M275" s="4">
        <v>3</v>
      </c>
      <c r="N275" s="4" t="s">
        <v>3</v>
      </c>
      <c r="O275" s="4">
        <v>0</v>
      </c>
      <c r="P275" s="4"/>
      <c r="Q275" s="4"/>
      <c r="R275" s="4"/>
      <c r="S275" s="4"/>
      <c r="T275" s="4"/>
      <c r="U275" s="4"/>
      <c r="V275" s="4"/>
      <c r="W275" s="4"/>
    </row>
    <row r="276" spans="1:23">
      <c r="A276" s="4">
        <v>50</v>
      </c>
      <c r="B276" s="4">
        <v>0</v>
      </c>
      <c r="C276" s="4">
        <v>0</v>
      </c>
      <c r="D276" s="4">
        <v>1</v>
      </c>
      <c r="E276" s="4">
        <v>215</v>
      </c>
      <c r="F276" s="4">
        <f>ROUND(Source!AT258,O276)</f>
        <v>2150</v>
      </c>
      <c r="G276" s="4" t="s">
        <v>136</v>
      </c>
      <c r="H276" s="4" t="s">
        <v>137</v>
      </c>
      <c r="I276" s="4"/>
      <c r="J276" s="4"/>
      <c r="K276" s="4">
        <v>215</v>
      </c>
      <c r="L276" s="4">
        <v>17</v>
      </c>
      <c r="M276" s="4">
        <v>3</v>
      </c>
      <c r="N276" s="4" t="s">
        <v>3</v>
      </c>
      <c r="O276" s="4">
        <v>0</v>
      </c>
      <c r="P276" s="4"/>
      <c r="Q276" s="4"/>
      <c r="R276" s="4"/>
      <c r="S276" s="4"/>
      <c r="T276" s="4"/>
      <c r="U276" s="4"/>
      <c r="V276" s="4"/>
      <c r="W276" s="4"/>
    </row>
    <row r="277" spans="1:23">
      <c r="A277" s="4">
        <v>50</v>
      </c>
      <c r="B277" s="4">
        <v>0</v>
      </c>
      <c r="C277" s="4">
        <v>0</v>
      </c>
      <c r="D277" s="4">
        <v>1</v>
      </c>
      <c r="E277" s="4">
        <v>217</v>
      </c>
      <c r="F277" s="4">
        <f>ROUND(Source!AU258,O277)</f>
        <v>0</v>
      </c>
      <c r="G277" s="4" t="s">
        <v>138</v>
      </c>
      <c r="H277" s="4" t="s">
        <v>139</v>
      </c>
      <c r="I277" s="4"/>
      <c r="J277" s="4"/>
      <c r="K277" s="4">
        <v>217</v>
      </c>
      <c r="L277" s="4">
        <v>18</v>
      </c>
      <c r="M277" s="4">
        <v>3</v>
      </c>
      <c r="N277" s="4" t="s">
        <v>3</v>
      </c>
      <c r="O277" s="4">
        <v>0</v>
      </c>
      <c r="P277" s="4"/>
      <c r="Q277" s="4"/>
      <c r="R277" s="4"/>
      <c r="S277" s="4"/>
      <c r="T277" s="4"/>
      <c r="U277" s="4"/>
      <c r="V277" s="4"/>
      <c r="W277" s="4"/>
    </row>
    <row r="278" spans="1:23">
      <c r="A278" s="4">
        <v>50</v>
      </c>
      <c r="B278" s="4">
        <v>0</v>
      </c>
      <c r="C278" s="4">
        <v>0</v>
      </c>
      <c r="D278" s="4">
        <v>1</v>
      </c>
      <c r="E278" s="4">
        <v>230</v>
      </c>
      <c r="F278" s="4">
        <f>ROUND(Source!BA258,O278)</f>
        <v>0</v>
      </c>
      <c r="G278" s="4" t="s">
        <v>140</v>
      </c>
      <c r="H278" s="4" t="s">
        <v>141</v>
      </c>
      <c r="I278" s="4"/>
      <c r="J278" s="4"/>
      <c r="K278" s="4">
        <v>230</v>
      </c>
      <c r="L278" s="4">
        <v>19</v>
      </c>
      <c r="M278" s="4">
        <v>3</v>
      </c>
      <c r="N278" s="4" t="s">
        <v>3</v>
      </c>
      <c r="O278" s="4">
        <v>0</v>
      </c>
      <c r="P278" s="4"/>
      <c r="Q278" s="4"/>
      <c r="R278" s="4"/>
      <c r="S278" s="4"/>
      <c r="T278" s="4"/>
      <c r="U278" s="4"/>
      <c r="V278" s="4"/>
      <c r="W278" s="4"/>
    </row>
    <row r="279" spans="1:23">
      <c r="A279" s="4">
        <v>50</v>
      </c>
      <c r="B279" s="4">
        <v>0</v>
      </c>
      <c r="C279" s="4">
        <v>0</v>
      </c>
      <c r="D279" s="4">
        <v>1</v>
      </c>
      <c r="E279" s="4">
        <v>206</v>
      </c>
      <c r="F279" s="4">
        <f>ROUND(Source!T258,O279)</f>
        <v>0</v>
      </c>
      <c r="G279" s="4" t="s">
        <v>142</v>
      </c>
      <c r="H279" s="4" t="s">
        <v>143</v>
      </c>
      <c r="I279" s="4"/>
      <c r="J279" s="4"/>
      <c r="K279" s="4">
        <v>206</v>
      </c>
      <c r="L279" s="4">
        <v>20</v>
      </c>
      <c r="M279" s="4">
        <v>3</v>
      </c>
      <c r="N279" s="4" t="s">
        <v>3</v>
      </c>
      <c r="O279" s="4">
        <v>0</v>
      </c>
      <c r="P279" s="4"/>
      <c r="Q279" s="4"/>
      <c r="R279" s="4"/>
      <c r="S279" s="4"/>
      <c r="T279" s="4"/>
      <c r="U279" s="4"/>
      <c r="V279" s="4"/>
      <c r="W279" s="4"/>
    </row>
    <row r="280" spans="1:23">
      <c r="A280" s="4">
        <v>50</v>
      </c>
      <c r="B280" s="4">
        <v>0</v>
      </c>
      <c r="C280" s="4">
        <v>0</v>
      </c>
      <c r="D280" s="4">
        <v>1</v>
      </c>
      <c r="E280" s="4">
        <v>207</v>
      </c>
      <c r="F280" s="4">
        <f>Source!U258</f>
        <v>468.74874079999984</v>
      </c>
      <c r="G280" s="4" t="s">
        <v>144</v>
      </c>
      <c r="H280" s="4" t="s">
        <v>145</v>
      </c>
      <c r="I280" s="4"/>
      <c r="J280" s="4"/>
      <c r="K280" s="4">
        <v>207</v>
      </c>
      <c r="L280" s="4">
        <v>21</v>
      </c>
      <c r="M280" s="4">
        <v>3</v>
      </c>
      <c r="N280" s="4" t="s">
        <v>3</v>
      </c>
      <c r="O280" s="4">
        <v>-1</v>
      </c>
      <c r="P280" s="4"/>
      <c r="Q280" s="4"/>
      <c r="R280" s="4"/>
      <c r="S280" s="4"/>
      <c r="T280" s="4"/>
      <c r="U280" s="4"/>
      <c r="V280" s="4"/>
      <c r="W280" s="4"/>
    </row>
    <row r="281" spans="1:23">
      <c r="A281" s="4">
        <v>50</v>
      </c>
      <c r="B281" s="4">
        <v>0</v>
      </c>
      <c r="C281" s="4">
        <v>0</v>
      </c>
      <c r="D281" s="4">
        <v>1</v>
      </c>
      <c r="E281" s="4">
        <v>208</v>
      </c>
      <c r="F281" s="4">
        <f>Source!V258</f>
        <v>9.8130142499999984</v>
      </c>
      <c r="G281" s="4" t="s">
        <v>146</v>
      </c>
      <c r="H281" s="4" t="s">
        <v>147</v>
      </c>
      <c r="I281" s="4"/>
      <c r="J281" s="4"/>
      <c r="K281" s="4">
        <v>208</v>
      </c>
      <c r="L281" s="4">
        <v>22</v>
      </c>
      <c r="M281" s="4">
        <v>3</v>
      </c>
      <c r="N281" s="4" t="s">
        <v>3</v>
      </c>
      <c r="O281" s="4">
        <v>-1</v>
      </c>
      <c r="P281" s="4"/>
      <c r="Q281" s="4"/>
      <c r="R281" s="4"/>
      <c r="S281" s="4"/>
      <c r="T281" s="4"/>
      <c r="U281" s="4"/>
      <c r="V281" s="4"/>
      <c r="W281" s="4"/>
    </row>
    <row r="282" spans="1:23">
      <c r="A282" s="4">
        <v>50</v>
      </c>
      <c r="B282" s="4">
        <v>0</v>
      </c>
      <c r="C282" s="4">
        <v>0</v>
      </c>
      <c r="D282" s="4">
        <v>1</v>
      </c>
      <c r="E282" s="4">
        <v>209</v>
      </c>
      <c r="F282" s="4">
        <f>ROUND(Source!W258,O282)</f>
        <v>0</v>
      </c>
      <c r="G282" s="4" t="s">
        <v>148</v>
      </c>
      <c r="H282" s="4" t="s">
        <v>149</v>
      </c>
      <c r="I282" s="4"/>
      <c r="J282" s="4"/>
      <c r="K282" s="4">
        <v>209</v>
      </c>
      <c r="L282" s="4">
        <v>23</v>
      </c>
      <c r="M282" s="4">
        <v>3</v>
      </c>
      <c r="N282" s="4" t="s">
        <v>3</v>
      </c>
      <c r="O282" s="4">
        <v>0</v>
      </c>
      <c r="P282" s="4"/>
      <c r="Q282" s="4"/>
      <c r="R282" s="4"/>
      <c r="S282" s="4"/>
      <c r="T282" s="4"/>
      <c r="U282" s="4"/>
      <c r="V282" s="4"/>
      <c r="W282" s="4"/>
    </row>
    <row r="283" spans="1:23">
      <c r="A283" s="4">
        <v>50</v>
      </c>
      <c r="B283" s="4">
        <v>0</v>
      </c>
      <c r="C283" s="4">
        <v>0</v>
      </c>
      <c r="D283" s="4">
        <v>1</v>
      </c>
      <c r="E283" s="4">
        <v>210</v>
      </c>
      <c r="F283" s="4">
        <f>ROUND(Source!X258,O283)</f>
        <v>58307</v>
      </c>
      <c r="G283" s="4" t="s">
        <v>150</v>
      </c>
      <c r="H283" s="4" t="s">
        <v>151</v>
      </c>
      <c r="I283" s="4"/>
      <c r="J283" s="4"/>
      <c r="K283" s="4">
        <v>210</v>
      </c>
      <c r="L283" s="4">
        <v>24</v>
      </c>
      <c r="M283" s="4">
        <v>3</v>
      </c>
      <c r="N283" s="4" t="s">
        <v>3</v>
      </c>
      <c r="O283" s="4">
        <v>0</v>
      </c>
      <c r="P283" s="4"/>
      <c r="Q283" s="4"/>
      <c r="R283" s="4"/>
      <c r="S283" s="4"/>
      <c r="T283" s="4"/>
      <c r="U283" s="4"/>
      <c r="V283" s="4"/>
      <c r="W283" s="4"/>
    </row>
    <row r="284" spans="1:23">
      <c r="A284" s="4">
        <v>50</v>
      </c>
      <c r="B284" s="4">
        <v>0</v>
      </c>
      <c r="C284" s="4">
        <v>0</v>
      </c>
      <c r="D284" s="4">
        <v>1</v>
      </c>
      <c r="E284" s="4">
        <v>211</v>
      </c>
      <c r="F284" s="4">
        <f>ROUND(Source!Y258,O284)</f>
        <v>42132</v>
      </c>
      <c r="G284" s="4" t="s">
        <v>152</v>
      </c>
      <c r="H284" s="4" t="s">
        <v>153</v>
      </c>
      <c r="I284" s="4"/>
      <c r="J284" s="4"/>
      <c r="K284" s="4">
        <v>211</v>
      </c>
      <c r="L284" s="4">
        <v>25</v>
      </c>
      <c r="M284" s="4">
        <v>3</v>
      </c>
      <c r="N284" s="4" t="s">
        <v>3</v>
      </c>
      <c r="O284" s="4">
        <v>0</v>
      </c>
      <c r="P284" s="4"/>
      <c r="Q284" s="4"/>
      <c r="R284" s="4"/>
      <c r="S284" s="4"/>
      <c r="T284" s="4"/>
      <c r="U284" s="4"/>
      <c r="V284" s="4"/>
      <c r="W284" s="4"/>
    </row>
    <row r="285" spans="1:23">
      <c r="A285" s="4">
        <v>50</v>
      </c>
      <c r="B285" s="4">
        <v>0</v>
      </c>
      <c r="C285" s="4">
        <v>0</v>
      </c>
      <c r="D285" s="4">
        <v>1</v>
      </c>
      <c r="E285" s="4">
        <v>224</v>
      </c>
      <c r="F285" s="4">
        <f>ROUND(Source!AR258,O285)</f>
        <v>342495</v>
      </c>
      <c r="G285" s="4" t="s">
        <v>154</v>
      </c>
      <c r="H285" s="4" t="s">
        <v>155</v>
      </c>
      <c r="I285" s="4"/>
      <c r="J285" s="4"/>
      <c r="K285" s="4">
        <v>224</v>
      </c>
      <c r="L285" s="4">
        <v>26</v>
      </c>
      <c r="M285" s="4">
        <v>3</v>
      </c>
      <c r="N285" s="4" t="s">
        <v>3</v>
      </c>
      <c r="O285" s="4">
        <v>0</v>
      </c>
      <c r="P285" s="4"/>
      <c r="Q285" s="4"/>
      <c r="R285" s="4"/>
      <c r="S285" s="4"/>
      <c r="T285" s="4"/>
      <c r="U285" s="4"/>
      <c r="V285" s="4"/>
      <c r="W285" s="4"/>
    </row>
    <row r="286" spans="1:23">
      <c r="A286" s="4">
        <v>50</v>
      </c>
      <c r="B286" s="4">
        <v>1</v>
      </c>
      <c r="C286" s="4">
        <v>0</v>
      </c>
      <c r="D286" s="4">
        <v>2</v>
      </c>
      <c r="E286" s="4">
        <v>0</v>
      </c>
      <c r="F286" s="4">
        <f>ROUND(F273,O286)</f>
        <v>81371</v>
      </c>
      <c r="G286" s="4" t="s">
        <v>424</v>
      </c>
      <c r="H286" s="4" t="s">
        <v>130</v>
      </c>
      <c r="I286" s="4"/>
      <c r="J286" s="4"/>
      <c r="K286" s="4">
        <v>212</v>
      </c>
      <c r="L286" s="4">
        <v>27</v>
      </c>
      <c r="M286" s="4">
        <v>0</v>
      </c>
      <c r="N286" s="4" t="s">
        <v>3</v>
      </c>
      <c r="O286" s="4">
        <v>0</v>
      </c>
      <c r="P286" s="4"/>
      <c r="Q286" s="4"/>
      <c r="R286" s="4"/>
      <c r="S286" s="4"/>
      <c r="T286" s="4"/>
      <c r="U286" s="4"/>
      <c r="V286" s="4"/>
      <c r="W286" s="4"/>
    </row>
    <row r="287" spans="1:23">
      <c r="A287" s="4">
        <v>50</v>
      </c>
      <c r="B287" s="4">
        <v>1</v>
      </c>
      <c r="C287" s="4">
        <v>0</v>
      </c>
      <c r="D287" s="4">
        <v>2</v>
      </c>
      <c r="E287" s="4">
        <v>0</v>
      </c>
      <c r="F287" s="4">
        <f>ROUND(F272,O287)</f>
        <v>2073</v>
      </c>
      <c r="G287" s="4" t="s">
        <v>425</v>
      </c>
      <c r="H287" s="4" t="s">
        <v>426</v>
      </c>
      <c r="I287" s="4"/>
      <c r="J287" s="4"/>
      <c r="K287" s="4">
        <v>212</v>
      </c>
      <c r="L287" s="4">
        <v>28</v>
      </c>
      <c r="M287" s="4">
        <v>0</v>
      </c>
      <c r="N287" s="4" t="s">
        <v>3</v>
      </c>
      <c r="O287" s="4">
        <v>0</v>
      </c>
      <c r="P287" s="4"/>
      <c r="Q287" s="4"/>
      <c r="R287" s="4"/>
      <c r="S287" s="4"/>
      <c r="T287" s="4"/>
      <c r="U287" s="4"/>
      <c r="V287" s="4"/>
      <c r="W287" s="4"/>
    </row>
    <row r="288" spans="1:23">
      <c r="A288" s="4">
        <v>50</v>
      </c>
      <c r="B288" s="4">
        <v>1</v>
      </c>
      <c r="C288" s="4">
        <v>0</v>
      </c>
      <c r="D288" s="4">
        <v>2</v>
      </c>
      <c r="E288" s="4">
        <v>0</v>
      </c>
      <c r="F288" s="4">
        <f>ROUND(F270,O288)</f>
        <v>4541</v>
      </c>
      <c r="G288" s="4" t="s">
        <v>427</v>
      </c>
      <c r="H288" s="4" t="s">
        <v>428</v>
      </c>
      <c r="I288" s="4"/>
      <c r="J288" s="4"/>
      <c r="K288" s="4">
        <v>212</v>
      </c>
      <c r="L288" s="4">
        <v>29</v>
      </c>
      <c r="M288" s="4">
        <v>0</v>
      </c>
      <c r="N288" s="4" t="s">
        <v>3</v>
      </c>
      <c r="O288" s="4">
        <v>0</v>
      </c>
      <c r="P288" s="4"/>
      <c r="Q288" s="4"/>
      <c r="R288" s="4"/>
      <c r="S288" s="4"/>
      <c r="T288" s="4"/>
      <c r="U288" s="4"/>
      <c r="V288" s="4"/>
      <c r="W288" s="4"/>
    </row>
    <row r="289" spans="1:23">
      <c r="A289" s="4">
        <v>50</v>
      </c>
      <c r="B289" s="4">
        <v>1</v>
      </c>
      <c r="C289" s="4">
        <v>0</v>
      </c>
      <c r="D289" s="4">
        <v>2</v>
      </c>
      <c r="E289" s="4">
        <v>0</v>
      </c>
      <c r="F289" s="4">
        <f>ROUND(F261,O289)</f>
        <v>156144</v>
      </c>
      <c r="G289" s="4" t="s">
        <v>429</v>
      </c>
      <c r="H289" s="4" t="s">
        <v>430</v>
      </c>
      <c r="I289" s="4"/>
      <c r="J289" s="4"/>
      <c r="K289" s="4">
        <v>212</v>
      </c>
      <c r="L289" s="4">
        <v>30</v>
      </c>
      <c r="M289" s="4">
        <v>0</v>
      </c>
      <c r="N289" s="4" t="s">
        <v>3</v>
      </c>
      <c r="O289" s="4">
        <v>0</v>
      </c>
      <c r="P289" s="4"/>
      <c r="Q289" s="4"/>
      <c r="R289" s="4"/>
      <c r="S289" s="4"/>
      <c r="T289" s="4"/>
      <c r="U289" s="4"/>
      <c r="V289" s="4"/>
      <c r="W289" s="4"/>
    </row>
    <row r="290" spans="1:23">
      <c r="A290" s="4">
        <v>50</v>
      </c>
      <c r="B290" s="4">
        <v>1</v>
      </c>
      <c r="C290" s="4">
        <v>0</v>
      </c>
      <c r="D290" s="4">
        <v>2</v>
      </c>
      <c r="E290" s="4">
        <v>0</v>
      </c>
      <c r="F290" s="4">
        <f>ROUND(F283,O290)</f>
        <v>58307</v>
      </c>
      <c r="G290" s="4" t="s">
        <v>431</v>
      </c>
      <c r="H290" s="4" t="s">
        <v>150</v>
      </c>
      <c r="I290" s="4"/>
      <c r="J290" s="4"/>
      <c r="K290" s="4">
        <v>212</v>
      </c>
      <c r="L290" s="4">
        <v>31</v>
      </c>
      <c r="M290" s="4">
        <v>0</v>
      </c>
      <c r="N290" s="4" t="s">
        <v>3</v>
      </c>
      <c r="O290" s="4">
        <v>0</v>
      </c>
      <c r="P290" s="4"/>
      <c r="Q290" s="4"/>
      <c r="R290" s="4"/>
      <c r="S290" s="4"/>
      <c r="T290" s="4"/>
      <c r="U290" s="4"/>
      <c r="V290" s="4"/>
      <c r="W290" s="4"/>
    </row>
    <row r="291" spans="1:23">
      <c r="A291" s="4">
        <v>50</v>
      </c>
      <c r="B291" s="4">
        <v>1</v>
      </c>
      <c r="C291" s="4">
        <v>0</v>
      </c>
      <c r="D291" s="4">
        <v>2</v>
      </c>
      <c r="E291" s="4">
        <v>0</v>
      </c>
      <c r="F291" s="4">
        <f>ROUND(F284,O291)</f>
        <v>42132</v>
      </c>
      <c r="G291" s="4" t="s">
        <v>432</v>
      </c>
      <c r="H291" s="4" t="s">
        <v>433</v>
      </c>
      <c r="I291" s="4"/>
      <c r="J291" s="4"/>
      <c r="K291" s="4">
        <v>212</v>
      </c>
      <c r="L291" s="4">
        <v>32</v>
      </c>
      <c r="M291" s="4">
        <v>0</v>
      </c>
      <c r="N291" s="4" t="s">
        <v>3</v>
      </c>
      <c r="O291" s="4">
        <v>0</v>
      </c>
      <c r="P291" s="4"/>
      <c r="Q291" s="4"/>
      <c r="R291" s="4"/>
      <c r="S291" s="4"/>
      <c r="T291" s="4"/>
      <c r="U291" s="4"/>
      <c r="V291" s="4"/>
      <c r="W291" s="4"/>
    </row>
    <row r="292" spans="1:23">
      <c r="A292" s="4">
        <v>50</v>
      </c>
      <c r="B292" s="4">
        <v>1</v>
      </c>
      <c r="C292" s="4">
        <v>0</v>
      </c>
      <c r="D292" s="4">
        <v>2</v>
      </c>
      <c r="E292" s="4">
        <v>0</v>
      </c>
      <c r="F292" s="4">
        <f>ROUND(F286+F288+F289+F290+F291,O292)</f>
        <v>342495</v>
      </c>
      <c r="G292" s="4" t="s">
        <v>434</v>
      </c>
      <c r="H292" s="4" t="s">
        <v>154</v>
      </c>
      <c r="I292" s="4"/>
      <c r="J292" s="4"/>
      <c r="K292" s="4">
        <v>212</v>
      </c>
      <c r="L292" s="4">
        <v>33</v>
      </c>
      <c r="M292" s="4">
        <v>0</v>
      </c>
      <c r="N292" s="4" t="s">
        <v>3</v>
      </c>
      <c r="O292" s="4">
        <v>0</v>
      </c>
      <c r="P292" s="4"/>
      <c r="Q292" s="4"/>
      <c r="R292" s="4"/>
      <c r="S292" s="4"/>
      <c r="T292" s="4"/>
      <c r="U292" s="4"/>
      <c r="V292" s="4"/>
      <c r="W292" s="4"/>
    </row>
    <row r="293" spans="1:23">
      <c r="A293" s="4">
        <v>50</v>
      </c>
      <c r="B293" s="4">
        <v>1</v>
      </c>
      <c r="C293" s="4">
        <v>0</v>
      </c>
      <c r="D293" s="4">
        <v>2</v>
      </c>
      <c r="E293" s="4">
        <v>0</v>
      </c>
      <c r="F293" s="4">
        <f>ROUND((F289+F288-F287+F290*0.1712+F291*0.15)*0.2,O293)</f>
        <v>34983</v>
      </c>
      <c r="G293" s="4" t="s">
        <v>435</v>
      </c>
      <c r="H293" s="4" t="s">
        <v>436</v>
      </c>
      <c r="I293" s="4"/>
      <c r="J293" s="4"/>
      <c r="K293" s="4">
        <v>212</v>
      </c>
      <c r="L293" s="4">
        <v>34</v>
      </c>
      <c r="M293" s="4">
        <v>0</v>
      </c>
      <c r="N293" s="4" t="s">
        <v>437</v>
      </c>
      <c r="O293" s="4">
        <v>0</v>
      </c>
      <c r="P293" s="4"/>
      <c r="Q293" s="4"/>
      <c r="R293" s="4"/>
      <c r="S293" s="4"/>
      <c r="T293" s="4"/>
      <c r="U293" s="4"/>
      <c r="V293" s="4"/>
      <c r="W293" s="4"/>
    </row>
    <row r="294" spans="1:23">
      <c r="A294" s="4">
        <v>50</v>
      </c>
      <c r="B294" s="4">
        <v>1</v>
      </c>
      <c r="C294" s="4">
        <v>0</v>
      </c>
      <c r="D294" s="4">
        <v>2</v>
      </c>
      <c r="E294" s="4">
        <v>213</v>
      </c>
      <c r="F294" s="4">
        <f>ROUND(F292+F293,O294)</f>
        <v>377478</v>
      </c>
      <c r="G294" s="4" t="s">
        <v>438</v>
      </c>
      <c r="H294" s="4" t="s">
        <v>439</v>
      </c>
      <c r="I294" s="4"/>
      <c r="J294" s="4"/>
      <c r="K294" s="4">
        <v>212</v>
      </c>
      <c r="L294" s="4">
        <v>35</v>
      </c>
      <c r="M294" s="4">
        <v>0</v>
      </c>
      <c r="N294" s="4" t="s">
        <v>3</v>
      </c>
      <c r="O294" s="4">
        <v>0</v>
      </c>
      <c r="P294" s="4"/>
      <c r="Q294" s="4"/>
      <c r="R294" s="4"/>
      <c r="S294" s="4"/>
      <c r="T294" s="4"/>
      <c r="U294" s="4"/>
      <c r="V294" s="4"/>
      <c r="W294" s="4"/>
    </row>
    <row r="296" spans="1:23">
      <c r="A296" s="5">
        <v>61</v>
      </c>
      <c r="B296" s="5"/>
      <c r="C296" s="5"/>
      <c r="D296" s="5"/>
      <c r="E296" s="5"/>
      <c r="F296" s="5">
        <v>12</v>
      </c>
      <c r="G296" s="5" t="s">
        <v>440</v>
      </c>
      <c r="H296" s="5" t="s">
        <v>441</v>
      </c>
    </row>
    <row r="297" spans="1:23">
      <c r="A297" s="5">
        <v>61</v>
      </c>
      <c r="B297" s="5"/>
      <c r="C297" s="5"/>
      <c r="D297" s="5"/>
      <c r="E297" s="5"/>
      <c r="F297" s="5">
        <v>0</v>
      </c>
      <c r="G297" s="5" t="s">
        <v>442</v>
      </c>
      <c r="H297" s="5" t="s">
        <v>441</v>
      </c>
    </row>
    <row r="300" spans="1:23">
      <c r="A300">
        <v>70</v>
      </c>
      <c r="B300">
        <v>1</v>
      </c>
      <c r="D300">
        <v>1</v>
      </c>
      <c r="E300" t="s">
        <v>443</v>
      </c>
      <c r="F300" t="s">
        <v>444</v>
      </c>
      <c r="G300">
        <v>0</v>
      </c>
      <c r="H300">
        <v>0</v>
      </c>
      <c r="I300" t="s">
        <v>3</v>
      </c>
      <c r="J300">
        <v>1</v>
      </c>
      <c r="K300">
        <v>0</v>
      </c>
      <c r="L300" t="s">
        <v>3</v>
      </c>
      <c r="M300" t="s">
        <v>3</v>
      </c>
      <c r="N300">
        <v>0</v>
      </c>
    </row>
    <row r="301" spans="1:23">
      <c r="A301">
        <v>70</v>
      </c>
      <c r="B301">
        <v>1</v>
      </c>
      <c r="D301">
        <v>2</v>
      </c>
      <c r="E301" t="s">
        <v>445</v>
      </c>
      <c r="F301" t="s">
        <v>446</v>
      </c>
      <c r="G301">
        <v>1</v>
      </c>
      <c r="H301">
        <v>0</v>
      </c>
      <c r="I301" t="s">
        <v>3</v>
      </c>
      <c r="J301">
        <v>1</v>
      </c>
      <c r="K301">
        <v>0</v>
      </c>
      <c r="L301" t="s">
        <v>3</v>
      </c>
      <c r="M301" t="s">
        <v>3</v>
      </c>
      <c r="N301">
        <v>0</v>
      </c>
    </row>
    <row r="302" spans="1:23">
      <c r="A302">
        <v>70</v>
      </c>
      <c r="B302">
        <v>1</v>
      </c>
      <c r="D302">
        <v>3</v>
      </c>
      <c r="E302" t="s">
        <v>447</v>
      </c>
      <c r="F302" t="s">
        <v>448</v>
      </c>
      <c r="G302">
        <v>0</v>
      </c>
      <c r="H302">
        <v>0</v>
      </c>
      <c r="I302" t="s">
        <v>3</v>
      </c>
      <c r="J302">
        <v>1</v>
      </c>
      <c r="K302">
        <v>0</v>
      </c>
      <c r="L302" t="s">
        <v>3</v>
      </c>
      <c r="M302" t="s">
        <v>3</v>
      </c>
      <c r="N302">
        <v>0</v>
      </c>
    </row>
    <row r="303" spans="1:23">
      <c r="A303">
        <v>70</v>
      </c>
      <c r="B303">
        <v>1</v>
      </c>
      <c r="D303">
        <v>4</v>
      </c>
      <c r="E303" t="s">
        <v>449</v>
      </c>
      <c r="F303" t="s">
        <v>450</v>
      </c>
      <c r="G303">
        <v>1</v>
      </c>
      <c r="H303">
        <v>0</v>
      </c>
      <c r="I303" t="s">
        <v>451</v>
      </c>
      <c r="J303">
        <v>0</v>
      </c>
      <c r="K303">
        <v>0</v>
      </c>
      <c r="L303" t="s">
        <v>3</v>
      </c>
      <c r="M303" t="s">
        <v>3</v>
      </c>
      <c r="N303">
        <v>0</v>
      </c>
    </row>
    <row r="304" spans="1:23">
      <c r="A304">
        <v>70</v>
      </c>
      <c r="B304">
        <v>1</v>
      </c>
      <c r="D304">
        <v>5</v>
      </c>
      <c r="E304" t="s">
        <v>452</v>
      </c>
      <c r="F304" t="s">
        <v>453</v>
      </c>
      <c r="G304">
        <v>0</v>
      </c>
      <c r="H304">
        <v>0</v>
      </c>
      <c r="I304" t="s">
        <v>454</v>
      </c>
      <c r="J304">
        <v>0</v>
      </c>
      <c r="K304">
        <v>0</v>
      </c>
      <c r="L304" t="s">
        <v>3</v>
      </c>
      <c r="M304" t="s">
        <v>3</v>
      </c>
      <c r="N304">
        <v>0</v>
      </c>
    </row>
    <row r="305" spans="1:14">
      <c r="A305">
        <v>70</v>
      </c>
      <c r="B305">
        <v>1</v>
      </c>
      <c r="D305">
        <v>6</v>
      </c>
      <c r="E305" t="s">
        <v>455</v>
      </c>
      <c r="F305" t="s">
        <v>456</v>
      </c>
      <c r="G305">
        <v>0</v>
      </c>
      <c r="H305">
        <v>0</v>
      </c>
      <c r="I305" t="s">
        <v>457</v>
      </c>
      <c r="J305">
        <v>0</v>
      </c>
      <c r="K305">
        <v>0</v>
      </c>
      <c r="L305" t="s">
        <v>3</v>
      </c>
      <c r="M305" t="s">
        <v>3</v>
      </c>
      <c r="N305">
        <v>0</v>
      </c>
    </row>
    <row r="306" spans="1:14">
      <c r="A306">
        <v>70</v>
      </c>
      <c r="B306">
        <v>1</v>
      </c>
      <c r="D306">
        <v>7</v>
      </c>
      <c r="E306" t="s">
        <v>458</v>
      </c>
      <c r="F306" t="s">
        <v>459</v>
      </c>
      <c r="G306">
        <v>0</v>
      </c>
      <c r="H306">
        <v>0</v>
      </c>
      <c r="I306" t="s">
        <v>3</v>
      </c>
      <c r="J306">
        <v>0</v>
      </c>
      <c r="K306">
        <v>0</v>
      </c>
      <c r="L306" t="s">
        <v>3</v>
      </c>
      <c r="M306" t="s">
        <v>3</v>
      </c>
      <c r="N306">
        <v>0</v>
      </c>
    </row>
    <row r="307" spans="1:14">
      <c r="A307">
        <v>70</v>
      </c>
      <c r="B307">
        <v>1</v>
      </c>
      <c r="D307">
        <v>8</v>
      </c>
      <c r="E307" t="s">
        <v>460</v>
      </c>
      <c r="F307" t="s">
        <v>461</v>
      </c>
      <c r="G307">
        <v>0</v>
      </c>
      <c r="H307">
        <v>0</v>
      </c>
      <c r="I307" t="s">
        <v>462</v>
      </c>
      <c r="J307">
        <v>0</v>
      </c>
      <c r="K307">
        <v>0</v>
      </c>
      <c r="L307" t="s">
        <v>3</v>
      </c>
      <c r="M307" t="s">
        <v>3</v>
      </c>
      <c r="N307">
        <v>0</v>
      </c>
    </row>
    <row r="308" spans="1:14">
      <c r="A308">
        <v>70</v>
      </c>
      <c r="B308">
        <v>1</v>
      </c>
      <c r="D308">
        <v>9</v>
      </c>
      <c r="E308" t="s">
        <v>463</v>
      </c>
      <c r="F308" t="s">
        <v>464</v>
      </c>
      <c r="G308">
        <v>0</v>
      </c>
      <c r="H308">
        <v>0</v>
      </c>
      <c r="I308" t="s">
        <v>465</v>
      </c>
      <c r="J308">
        <v>0</v>
      </c>
      <c r="K308">
        <v>0</v>
      </c>
      <c r="L308" t="s">
        <v>3</v>
      </c>
      <c r="M308" t="s">
        <v>3</v>
      </c>
      <c r="N308">
        <v>0</v>
      </c>
    </row>
    <row r="309" spans="1:14">
      <c r="A309">
        <v>70</v>
      </c>
      <c r="B309">
        <v>1</v>
      </c>
      <c r="D309">
        <v>10</v>
      </c>
      <c r="E309" t="s">
        <v>466</v>
      </c>
      <c r="F309" t="s">
        <v>467</v>
      </c>
      <c r="G309">
        <v>0</v>
      </c>
      <c r="H309">
        <v>0</v>
      </c>
      <c r="I309" t="s">
        <v>468</v>
      </c>
      <c r="J309">
        <v>0</v>
      </c>
      <c r="K309">
        <v>0</v>
      </c>
      <c r="L309" t="s">
        <v>3</v>
      </c>
      <c r="M309" t="s">
        <v>3</v>
      </c>
      <c r="N309">
        <v>0</v>
      </c>
    </row>
    <row r="310" spans="1:14">
      <c r="A310">
        <v>70</v>
      </c>
      <c r="B310">
        <v>1</v>
      </c>
      <c r="D310">
        <v>11</v>
      </c>
      <c r="E310" t="s">
        <v>469</v>
      </c>
      <c r="F310" t="s">
        <v>470</v>
      </c>
      <c r="G310">
        <v>0</v>
      </c>
      <c r="H310">
        <v>0</v>
      </c>
      <c r="I310" t="s">
        <v>471</v>
      </c>
      <c r="J310">
        <v>0</v>
      </c>
      <c r="K310">
        <v>0</v>
      </c>
      <c r="L310" t="s">
        <v>3</v>
      </c>
      <c r="M310" t="s">
        <v>3</v>
      </c>
      <c r="N310">
        <v>0</v>
      </c>
    </row>
    <row r="311" spans="1:14">
      <c r="A311">
        <v>70</v>
      </c>
      <c r="B311">
        <v>1</v>
      </c>
      <c r="D311">
        <v>12</v>
      </c>
      <c r="E311" t="s">
        <v>472</v>
      </c>
      <c r="F311" t="s">
        <v>473</v>
      </c>
      <c r="G311">
        <v>0</v>
      </c>
      <c r="H311">
        <v>0</v>
      </c>
      <c r="I311" t="s">
        <v>3</v>
      </c>
      <c r="J311">
        <v>0</v>
      </c>
      <c r="K311">
        <v>0</v>
      </c>
      <c r="L311" t="s">
        <v>3</v>
      </c>
      <c r="M311" t="s">
        <v>3</v>
      </c>
      <c r="N311">
        <v>0</v>
      </c>
    </row>
    <row r="312" spans="1:14">
      <c r="A312">
        <v>70</v>
      </c>
      <c r="B312">
        <v>1</v>
      </c>
      <c r="D312">
        <v>1</v>
      </c>
      <c r="E312" t="s">
        <v>474</v>
      </c>
      <c r="F312" t="s">
        <v>475</v>
      </c>
      <c r="G312">
        <v>0.9</v>
      </c>
      <c r="H312">
        <v>1</v>
      </c>
      <c r="I312" t="s">
        <v>476</v>
      </c>
      <c r="J312">
        <v>0</v>
      </c>
      <c r="K312">
        <v>0</v>
      </c>
      <c r="L312" t="s">
        <v>3</v>
      </c>
      <c r="M312" t="s">
        <v>3</v>
      </c>
      <c r="N312">
        <v>0</v>
      </c>
    </row>
    <row r="313" spans="1:14">
      <c r="A313">
        <v>70</v>
      </c>
      <c r="B313">
        <v>1</v>
      </c>
      <c r="D313">
        <v>2</v>
      </c>
      <c r="E313" t="s">
        <v>477</v>
      </c>
      <c r="F313" t="s">
        <v>478</v>
      </c>
      <c r="G313">
        <v>0.85</v>
      </c>
      <c r="H313">
        <v>1</v>
      </c>
      <c r="I313" t="s">
        <v>479</v>
      </c>
      <c r="J313">
        <v>0</v>
      </c>
      <c r="K313">
        <v>0</v>
      </c>
      <c r="L313" t="s">
        <v>3</v>
      </c>
      <c r="M313" t="s">
        <v>3</v>
      </c>
      <c r="N313">
        <v>0</v>
      </c>
    </row>
    <row r="314" spans="1:14">
      <c r="A314">
        <v>70</v>
      </c>
      <c r="B314">
        <v>1</v>
      </c>
      <c r="D314">
        <v>3</v>
      </c>
      <c r="E314" t="s">
        <v>480</v>
      </c>
      <c r="F314" t="s">
        <v>481</v>
      </c>
      <c r="G314">
        <v>1</v>
      </c>
      <c r="H314">
        <v>0.85</v>
      </c>
      <c r="I314" t="s">
        <v>482</v>
      </c>
      <c r="J314">
        <v>0</v>
      </c>
      <c r="K314">
        <v>0</v>
      </c>
      <c r="L314" t="s">
        <v>3</v>
      </c>
      <c r="M314" t="s">
        <v>3</v>
      </c>
      <c r="N314">
        <v>0</v>
      </c>
    </row>
    <row r="315" spans="1:14">
      <c r="A315">
        <v>70</v>
      </c>
      <c r="B315">
        <v>1</v>
      </c>
      <c r="D315">
        <v>4</v>
      </c>
      <c r="E315" t="s">
        <v>483</v>
      </c>
      <c r="F315" t="s">
        <v>484</v>
      </c>
      <c r="G315">
        <v>1</v>
      </c>
      <c r="H315">
        <v>0</v>
      </c>
      <c r="I315" t="s">
        <v>3</v>
      </c>
      <c r="J315">
        <v>0</v>
      </c>
      <c r="K315">
        <v>0</v>
      </c>
      <c r="L315" t="s">
        <v>3</v>
      </c>
      <c r="M315" t="s">
        <v>3</v>
      </c>
      <c r="N315">
        <v>0</v>
      </c>
    </row>
    <row r="316" spans="1:14">
      <c r="A316">
        <v>70</v>
      </c>
      <c r="B316">
        <v>1</v>
      </c>
      <c r="D316">
        <v>5</v>
      </c>
      <c r="E316" t="s">
        <v>485</v>
      </c>
      <c r="F316" t="s">
        <v>486</v>
      </c>
      <c r="G316">
        <v>1</v>
      </c>
      <c r="H316">
        <v>0.8</v>
      </c>
      <c r="I316" t="s">
        <v>487</v>
      </c>
      <c r="J316">
        <v>0</v>
      </c>
      <c r="K316">
        <v>0</v>
      </c>
      <c r="L316" t="s">
        <v>3</v>
      </c>
      <c r="M316" t="s">
        <v>3</v>
      </c>
      <c r="N316">
        <v>0</v>
      </c>
    </row>
    <row r="317" spans="1:14">
      <c r="A317">
        <v>70</v>
      </c>
      <c r="B317">
        <v>1</v>
      </c>
      <c r="D317">
        <v>6</v>
      </c>
      <c r="E317" t="s">
        <v>488</v>
      </c>
      <c r="F317" t="s">
        <v>489</v>
      </c>
      <c r="G317">
        <v>1</v>
      </c>
      <c r="H317">
        <v>0</v>
      </c>
      <c r="I317" t="s">
        <v>3</v>
      </c>
      <c r="J317">
        <v>0</v>
      </c>
      <c r="K317">
        <v>0</v>
      </c>
      <c r="L317" t="s">
        <v>3</v>
      </c>
      <c r="M317" t="s">
        <v>3</v>
      </c>
      <c r="N317">
        <v>0</v>
      </c>
    </row>
    <row r="318" spans="1:14">
      <c r="A318">
        <v>70</v>
      </c>
      <c r="B318">
        <v>1</v>
      </c>
      <c r="D318">
        <v>7</v>
      </c>
      <c r="E318" t="s">
        <v>490</v>
      </c>
      <c r="F318" t="s">
        <v>491</v>
      </c>
      <c r="G318">
        <v>1</v>
      </c>
      <c r="H318">
        <v>0</v>
      </c>
      <c r="I318" t="s">
        <v>3</v>
      </c>
      <c r="J318">
        <v>0</v>
      </c>
      <c r="K318">
        <v>0</v>
      </c>
      <c r="L318" t="s">
        <v>3</v>
      </c>
      <c r="M318" t="s">
        <v>3</v>
      </c>
      <c r="N318">
        <v>0</v>
      </c>
    </row>
    <row r="319" spans="1:14">
      <c r="A319">
        <v>70</v>
      </c>
      <c r="B319">
        <v>1</v>
      </c>
      <c r="D319">
        <v>8</v>
      </c>
      <c r="E319" t="s">
        <v>492</v>
      </c>
      <c r="F319" t="s">
        <v>493</v>
      </c>
      <c r="G319">
        <v>0.7</v>
      </c>
      <c r="H319">
        <v>0</v>
      </c>
      <c r="I319" t="s">
        <v>3</v>
      </c>
      <c r="J319">
        <v>0</v>
      </c>
      <c r="K319">
        <v>0</v>
      </c>
      <c r="L319" t="s">
        <v>3</v>
      </c>
      <c r="M319" t="s">
        <v>3</v>
      </c>
      <c r="N319">
        <v>0</v>
      </c>
    </row>
    <row r="320" spans="1:14">
      <c r="A320">
        <v>70</v>
      </c>
      <c r="B320">
        <v>1</v>
      </c>
      <c r="D320">
        <v>9</v>
      </c>
      <c r="E320" t="s">
        <v>494</v>
      </c>
      <c r="F320" t="s">
        <v>495</v>
      </c>
      <c r="G320">
        <v>0.9</v>
      </c>
      <c r="H320">
        <v>0</v>
      </c>
      <c r="I320" t="s">
        <v>3</v>
      </c>
      <c r="J320">
        <v>0</v>
      </c>
      <c r="K320">
        <v>0</v>
      </c>
      <c r="L320" t="s">
        <v>3</v>
      </c>
      <c r="M320" t="s">
        <v>3</v>
      </c>
      <c r="N320">
        <v>0</v>
      </c>
    </row>
    <row r="321" spans="1:27">
      <c r="A321">
        <v>70</v>
      </c>
      <c r="B321">
        <v>1</v>
      </c>
      <c r="D321">
        <v>10</v>
      </c>
      <c r="E321" t="s">
        <v>496</v>
      </c>
      <c r="F321" t="s">
        <v>497</v>
      </c>
      <c r="G321">
        <v>0.6</v>
      </c>
      <c r="H321">
        <v>0</v>
      </c>
      <c r="I321" t="s">
        <v>3</v>
      </c>
      <c r="J321">
        <v>0</v>
      </c>
      <c r="K321">
        <v>0</v>
      </c>
      <c r="L321" t="s">
        <v>3</v>
      </c>
      <c r="M321" t="s">
        <v>3</v>
      </c>
      <c r="N321">
        <v>0</v>
      </c>
    </row>
    <row r="322" spans="1:27">
      <c r="A322">
        <v>70</v>
      </c>
      <c r="B322">
        <v>1</v>
      </c>
      <c r="D322">
        <v>11</v>
      </c>
      <c r="E322" t="s">
        <v>498</v>
      </c>
      <c r="F322" t="s">
        <v>499</v>
      </c>
      <c r="G322">
        <v>1.2</v>
      </c>
      <c r="H322">
        <v>0</v>
      </c>
      <c r="I322" t="s">
        <v>3</v>
      </c>
      <c r="J322">
        <v>0</v>
      </c>
      <c r="K322">
        <v>0</v>
      </c>
      <c r="L322" t="s">
        <v>3</v>
      </c>
      <c r="M322" t="s">
        <v>3</v>
      </c>
      <c r="N322">
        <v>0</v>
      </c>
    </row>
    <row r="323" spans="1:27">
      <c r="A323">
        <v>70</v>
      </c>
      <c r="B323">
        <v>1</v>
      </c>
      <c r="D323">
        <v>12</v>
      </c>
      <c r="E323" t="s">
        <v>500</v>
      </c>
      <c r="F323" t="s">
        <v>501</v>
      </c>
      <c r="G323">
        <v>0</v>
      </c>
      <c r="H323">
        <v>0</v>
      </c>
      <c r="I323" t="s">
        <v>3</v>
      </c>
      <c r="J323">
        <v>0</v>
      </c>
      <c r="K323">
        <v>0</v>
      </c>
      <c r="L323" t="s">
        <v>3</v>
      </c>
      <c r="M323" t="s">
        <v>3</v>
      </c>
      <c r="N323">
        <v>0</v>
      </c>
    </row>
    <row r="324" spans="1:27">
      <c r="A324">
        <v>70</v>
      </c>
      <c r="B324">
        <v>1</v>
      </c>
      <c r="D324">
        <v>13</v>
      </c>
      <c r="E324" t="s">
        <v>502</v>
      </c>
      <c r="F324" t="s">
        <v>503</v>
      </c>
      <c r="G324">
        <v>1</v>
      </c>
      <c r="H324">
        <v>0</v>
      </c>
      <c r="I324" t="s">
        <v>3</v>
      </c>
      <c r="J324">
        <v>0</v>
      </c>
      <c r="K324">
        <v>0</v>
      </c>
      <c r="L324" t="s">
        <v>3</v>
      </c>
      <c r="M324" t="s">
        <v>3</v>
      </c>
      <c r="N324">
        <v>0</v>
      </c>
    </row>
    <row r="326" spans="1:27">
      <c r="A326">
        <v>-1</v>
      </c>
    </row>
    <row r="328" spans="1:27">
      <c r="A328" s="3">
        <v>75</v>
      </c>
      <c r="B328" s="3" t="s">
        <v>504</v>
      </c>
      <c r="C328" s="3">
        <v>2018</v>
      </c>
      <c r="D328" s="3">
        <v>0</v>
      </c>
      <c r="E328" s="3">
        <v>12</v>
      </c>
      <c r="F328" s="3"/>
      <c r="G328" s="3">
        <v>0</v>
      </c>
      <c r="H328" s="3">
        <v>1</v>
      </c>
      <c r="I328" s="3">
        <v>0</v>
      </c>
      <c r="J328" s="3">
        <v>1</v>
      </c>
      <c r="K328" s="3">
        <v>0</v>
      </c>
      <c r="L328" s="3">
        <v>0</v>
      </c>
      <c r="M328" s="3">
        <v>0</v>
      </c>
      <c r="N328" s="3">
        <v>48370320</v>
      </c>
      <c r="O328" s="3">
        <v>1</v>
      </c>
    </row>
    <row r="329" spans="1:27">
      <c r="A329" s="6">
        <v>1</v>
      </c>
      <c r="B329" s="6" t="s">
        <v>505</v>
      </c>
      <c r="C329" s="6" t="s">
        <v>506</v>
      </c>
      <c r="D329" s="6">
        <v>2020</v>
      </c>
      <c r="E329" s="6">
        <v>9</v>
      </c>
      <c r="F329" s="6">
        <v>1</v>
      </c>
      <c r="G329" s="6">
        <v>1</v>
      </c>
      <c r="H329" s="6">
        <v>0</v>
      </c>
      <c r="I329" s="6">
        <v>2</v>
      </c>
      <c r="J329" s="6">
        <v>1</v>
      </c>
      <c r="K329" s="6">
        <v>1</v>
      </c>
      <c r="L329" s="6">
        <v>1</v>
      </c>
      <c r="M329" s="6">
        <v>1</v>
      </c>
      <c r="N329" s="6">
        <v>1</v>
      </c>
      <c r="O329" s="6">
        <v>1</v>
      </c>
      <c r="P329" s="6">
        <v>1</v>
      </c>
      <c r="Q329" s="6">
        <v>1</v>
      </c>
      <c r="R329" s="6" t="s">
        <v>3</v>
      </c>
      <c r="S329" s="6" t="s">
        <v>3</v>
      </c>
      <c r="T329" s="6" t="s">
        <v>3</v>
      </c>
      <c r="U329" s="6" t="s">
        <v>3</v>
      </c>
      <c r="V329" s="6" t="s">
        <v>3</v>
      </c>
      <c r="W329" s="6" t="s">
        <v>3</v>
      </c>
      <c r="X329" s="6" t="s">
        <v>3</v>
      </c>
      <c r="Y329" s="6" t="s">
        <v>3</v>
      </c>
      <c r="Z329" s="6" t="s">
        <v>3</v>
      </c>
      <c r="AA329" s="6" t="s">
        <v>3</v>
      </c>
    </row>
    <row r="333" spans="1:27">
      <c r="A333">
        <v>65</v>
      </c>
      <c r="C333">
        <v>1</v>
      </c>
      <c r="D333">
        <v>0</v>
      </c>
      <c r="E33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C60"/>
  <sheetViews>
    <sheetView workbookViewId="0"/>
  </sheetViews>
  <sheetFormatPr defaultColWidth="9.109375" defaultRowHeight="13.2"/>
  <cols>
    <col min="1" max="256" width="9.109375" customWidth="1"/>
  </cols>
  <sheetData>
    <row r="1" spans="1:133">
      <c r="A1">
        <v>0</v>
      </c>
      <c r="B1" t="s">
        <v>0</v>
      </c>
      <c r="D1" t="s">
        <v>507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62490</v>
      </c>
      <c r="M1">
        <v>10</v>
      </c>
    </row>
    <row r="12" spans="1:133">
      <c r="A12" s="1">
        <v>1</v>
      </c>
      <c r="B12" s="1">
        <v>59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0</v>
      </c>
      <c r="BK12" s="1">
        <v>0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8</v>
      </c>
      <c r="CB12" s="1" t="s">
        <v>8</v>
      </c>
      <c r="CC12" s="1" t="s">
        <v>8</v>
      </c>
      <c r="CD12" s="1" t="s">
        <v>8</v>
      </c>
      <c r="CE12" s="1" t="s">
        <v>10</v>
      </c>
      <c r="CF12" s="1">
        <v>0</v>
      </c>
      <c r="CG12" s="1">
        <v>0</v>
      </c>
      <c r="CH12" s="1">
        <v>2105352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>
      <c r="A14" s="1">
        <v>22</v>
      </c>
      <c r="B14" s="1">
        <v>0</v>
      </c>
      <c r="C14" s="1">
        <v>0</v>
      </c>
      <c r="D14" s="1">
        <v>48370320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>
      <c r="A16" s="7">
        <v>3</v>
      </c>
      <c r="B16" s="7">
        <v>1</v>
      </c>
      <c r="C16" s="7" t="s">
        <v>11</v>
      </c>
      <c r="D16" s="7" t="s">
        <v>12</v>
      </c>
      <c r="E16" s="8">
        <f>(Source!F237)/1000</f>
        <v>340.34500000000003</v>
      </c>
      <c r="F16" s="8">
        <f>(Source!F238)/1000</f>
        <v>2.15</v>
      </c>
      <c r="G16" s="8">
        <f>(Source!F229)/1000</f>
        <v>0</v>
      </c>
      <c r="H16" s="8">
        <f>(Source!F239)/1000+(Source!F240)/1000</f>
        <v>0</v>
      </c>
      <c r="I16" s="8">
        <f>E16+F16+G16+H16</f>
        <v>342.495</v>
      </c>
      <c r="J16" s="8">
        <f>(Source!F235)/1000</f>
        <v>81.370999999999995</v>
      </c>
      <c r="AI16" s="7">
        <v>0</v>
      </c>
      <c r="AJ16" s="7">
        <v>-1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242056</v>
      </c>
      <c r="AU16" s="8">
        <v>156144</v>
      </c>
      <c r="AV16" s="8">
        <v>0</v>
      </c>
      <c r="AW16" s="8">
        <v>0</v>
      </c>
      <c r="AX16" s="8">
        <v>0</v>
      </c>
      <c r="AY16" s="8">
        <v>4541</v>
      </c>
      <c r="AZ16" s="8">
        <v>2073</v>
      </c>
      <c r="BA16" s="8">
        <v>81371</v>
      </c>
      <c r="BB16" s="8">
        <v>340345</v>
      </c>
      <c r="BC16" s="8">
        <v>2150</v>
      </c>
      <c r="BD16" s="8">
        <v>0</v>
      </c>
      <c r="BE16" s="8">
        <v>0</v>
      </c>
      <c r="BF16" s="8">
        <v>468.74874079999989</v>
      </c>
      <c r="BG16" s="8">
        <v>9.8130142500000019</v>
      </c>
      <c r="BH16" s="8">
        <v>0</v>
      </c>
      <c r="BI16" s="8">
        <v>58307</v>
      </c>
      <c r="BJ16" s="8">
        <v>42132</v>
      </c>
      <c r="BK16" s="8">
        <v>342495</v>
      </c>
    </row>
    <row r="18" spans="1:19">
      <c r="A18">
        <v>51</v>
      </c>
      <c r="E18" s="5">
        <f>SUMIF(A16:A17,3,E16:E17)</f>
        <v>340.34500000000003</v>
      </c>
      <c r="F18" s="5">
        <f>SUMIF(A16:A17,3,F16:F17)</f>
        <v>2.15</v>
      </c>
      <c r="G18" s="5">
        <f>SUMIF(A16:A17,3,G16:G17)</f>
        <v>0</v>
      </c>
      <c r="H18" s="5">
        <f>SUMIF(A16:A17,3,H16:H17)</f>
        <v>0</v>
      </c>
      <c r="I18" s="5">
        <f>SUMIF(A16:A17,3,I16:I17)</f>
        <v>342.495</v>
      </c>
      <c r="J18" s="5">
        <f>SUMIF(A16:A17,3,J16:J17)</f>
        <v>81.370999999999995</v>
      </c>
      <c r="K18" s="5"/>
      <c r="L18" s="5"/>
      <c r="M18" s="5"/>
      <c r="N18" s="5"/>
      <c r="O18" s="5"/>
      <c r="P18" s="5"/>
      <c r="Q18" s="5"/>
      <c r="R18" s="5"/>
      <c r="S18" s="5"/>
    </row>
    <row r="20" spans="1:19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242056</v>
      </c>
      <c r="G20" s="4" t="s">
        <v>104</v>
      </c>
      <c r="H20" s="4" t="s">
        <v>105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0</v>
      </c>
      <c r="P20" s="4"/>
    </row>
    <row r="21" spans="1:19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156144</v>
      </c>
      <c r="G21" s="4" t="s">
        <v>106</v>
      </c>
      <c r="H21" s="4" t="s">
        <v>107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0</v>
      </c>
      <c r="P21" s="4"/>
    </row>
    <row r="22" spans="1:19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108</v>
      </c>
      <c r="H22" s="4" t="s">
        <v>109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0</v>
      </c>
      <c r="P22" s="4"/>
    </row>
    <row r="23" spans="1:19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156144</v>
      </c>
      <c r="G23" s="4" t="s">
        <v>110</v>
      </c>
      <c r="H23" s="4" t="s">
        <v>111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0</v>
      </c>
      <c r="P23" s="4"/>
    </row>
    <row r="24" spans="1:19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156144</v>
      </c>
      <c r="G24" s="4" t="s">
        <v>112</v>
      </c>
      <c r="H24" s="4" t="s">
        <v>113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0</v>
      </c>
      <c r="P24" s="4"/>
    </row>
    <row r="25" spans="1:19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114</v>
      </c>
      <c r="H25" s="4" t="s">
        <v>115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0</v>
      </c>
      <c r="P25" s="4"/>
    </row>
    <row r="26" spans="1:19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156144</v>
      </c>
      <c r="G26" s="4" t="s">
        <v>116</v>
      </c>
      <c r="H26" s="4" t="s">
        <v>117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0</v>
      </c>
      <c r="P26" s="4"/>
    </row>
    <row r="27" spans="1:19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118</v>
      </c>
      <c r="H27" s="4" t="s">
        <v>119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0</v>
      </c>
      <c r="P27" s="4"/>
    </row>
    <row r="28" spans="1:19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120</v>
      </c>
      <c r="H28" s="4" t="s">
        <v>121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0</v>
      </c>
      <c r="P28" s="4"/>
    </row>
    <row r="29" spans="1:19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122</v>
      </c>
      <c r="H29" s="4" t="s">
        <v>123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0</v>
      </c>
      <c r="P29" s="4"/>
    </row>
    <row r="30" spans="1:19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4541</v>
      </c>
      <c r="G30" s="4" t="s">
        <v>124</v>
      </c>
      <c r="H30" s="4" t="s">
        <v>125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0</v>
      </c>
      <c r="P30" s="4"/>
    </row>
    <row r="31" spans="1:19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126</v>
      </c>
      <c r="H31" s="4" t="s">
        <v>127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0</v>
      </c>
      <c r="P31" s="4"/>
    </row>
    <row r="32" spans="1:19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2073</v>
      </c>
      <c r="G32" s="4" t="s">
        <v>128</v>
      </c>
      <c r="H32" s="4" t="s">
        <v>129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0</v>
      </c>
      <c r="P32" s="4"/>
    </row>
    <row r="33" spans="1:16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81371</v>
      </c>
      <c r="G33" s="4" t="s">
        <v>130</v>
      </c>
      <c r="H33" s="4" t="s">
        <v>131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0</v>
      </c>
      <c r="P33" s="4"/>
    </row>
    <row r="34" spans="1:16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132</v>
      </c>
      <c r="H34" s="4" t="s">
        <v>133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0</v>
      </c>
      <c r="P34" s="4"/>
    </row>
    <row r="35" spans="1:16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340345</v>
      </c>
      <c r="G35" s="4" t="s">
        <v>134</v>
      </c>
      <c r="H35" s="4" t="s">
        <v>135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0</v>
      </c>
      <c r="P35" s="4"/>
    </row>
    <row r="36" spans="1:16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2150</v>
      </c>
      <c r="G36" s="4" t="s">
        <v>136</v>
      </c>
      <c r="H36" s="4" t="s">
        <v>137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0</v>
      </c>
      <c r="P36" s="4"/>
    </row>
    <row r="37" spans="1:16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0</v>
      </c>
      <c r="G37" s="4" t="s">
        <v>138</v>
      </c>
      <c r="H37" s="4" t="s">
        <v>139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0</v>
      </c>
      <c r="P37" s="4"/>
    </row>
    <row r="38" spans="1:16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140</v>
      </c>
      <c r="H38" s="4" t="s">
        <v>141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0</v>
      </c>
      <c r="P38" s="4"/>
    </row>
    <row r="39" spans="1:16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142</v>
      </c>
      <c r="H39" s="4" t="s">
        <v>143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0</v>
      </c>
      <c r="P39" s="4"/>
    </row>
    <row r="40" spans="1:16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468.74874079999989</v>
      </c>
      <c r="G40" s="4" t="s">
        <v>144</v>
      </c>
      <c r="H40" s="4" t="s">
        <v>145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9.8130142500000019</v>
      </c>
      <c r="G41" s="4" t="s">
        <v>146</v>
      </c>
      <c r="H41" s="4" t="s">
        <v>147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148</v>
      </c>
      <c r="H42" s="4" t="s">
        <v>149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0</v>
      </c>
      <c r="P42" s="4"/>
    </row>
    <row r="43" spans="1:16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58307</v>
      </c>
      <c r="G43" s="4" t="s">
        <v>150</v>
      </c>
      <c r="H43" s="4" t="s">
        <v>151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0</v>
      </c>
      <c r="P43" s="4"/>
    </row>
    <row r="44" spans="1:16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42132</v>
      </c>
      <c r="G44" s="4" t="s">
        <v>152</v>
      </c>
      <c r="H44" s="4" t="s">
        <v>153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0</v>
      </c>
      <c r="P44" s="4"/>
    </row>
    <row r="45" spans="1:16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342495</v>
      </c>
      <c r="G45" s="4" t="s">
        <v>154</v>
      </c>
      <c r="H45" s="4" t="s">
        <v>155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0</v>
      </c>
      <c r="P45" s="4"/>
    </row>
    <row r="46" spans="1:16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81371</v>
      </c>
      <c r="G46" s="4" t="s">
        <v>424</v>
      </c>
      <c r="H46" s="4" t="s">
        <v>130</v>
      </c>
      <c r="I46" s="4"/>
      <c r="J46" s="4"/>
      <c r="K46" s="4">
        <v>212</v>
      </c>
      <c r="L46" s="4">
        <v>27</v>
      </c>
      <c r="M46" s="4">
        <v>0</v>
      </c>
      <c r="N46" s="4" t="s">
        <v>3</v>
      </c>
      <c r="O46" s="4">
        <v>0</v>
      </c>
      <c r="P46" s="4"/>
    </row>
    <row r="47" spans="1:16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2073</v>
      </c>
      <c r="G47" s="4" t="s">
        <v>425</v>
      </c>
      <c r="H47" s="4" t="s">
        <v>426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0</v>
      </c>
      <c r="P47" s="4"/>
    </row>
    <row r="48" spans="1:16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4541</v>
      </c>
      <c r="G48" s="4" t="s">
        <v>427</v>
      </c>
      <c r="H48" s="4" t="s">
        <v>428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0</v>
      </c>
      <c r="P48" s="4"/>
    </row>
    <row r="49" spans="1:27">
      <c r="A49" s="4">
        <v>50</v>
      </c>
      <c r="B49" s="4">
        <v>1</v>
      </c>
      <c r="C49" s="4">
        <v>0</v>
      </c>
      <c r="D49" s="4">
        <v>2</v>
      </c>
      <c r="E49" s="4">
        <v>0</v>
      </c>
      <c r="F49" s="4">
        <v>156144</v>
      </c>
      <c r="G49" s="4" t="s">
        <v>429</v>
      </c>
      <c r="H49" s="4" t="s">
        <v>430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0</v>
      </c>
      <c r="P49" s="4"/>
    </row>
    <row r="50" spans="1:27">
      <c r="A50" s="4">
        <v>50</v>
      </c>
      <c r="B50" s="4">
        <v>1</v>
      </c>
      <c r="C50" s="4">
        <v>0</v>
      </c>
      <c r="D50" s="4">
        <v>2</v>
      </c>
      <c r="E50" s="4">
        <v>0</v>
      </c>
      <c r="F50" s="4">
        <v>58307</v>
      </c>
      <c r="G50" s="4" t="s">
        <v>431</v>
      </c>
      <c r="H50" s="4" t="s">
        <v>150</v>
      </c>
      <c r="I50" s="4"/>
      <c r="J50" s="4"/>
      <c r="K50" s="4">
        <v>212</v>
      </c>
      <c r="L50" s="4">
        <v>31</v>
      </c>
      <c r="M50" s="4">
        <v>0</v>
      </c>
      <c r="N50" s="4" t="s">
        <v>3</v>
      </c>
      <c r="O50" s="4">
        <v>0</v>
      </c>
      <c r="P50" s="4"/>
    </row>
    <row r="51" spans="1:27">
      <c r="A51" s="4">
        <v>50</v>
      </c>
      <c r="B51" s="4">
        <v>1</v>
      </c>
      <c r="C51" s="4">
        <v>0</v>
      </c>
      <c r="D51" s="4">
        <v>2</v>
      </c>
      <c r="E51" s="4">
        <v>0</v>
      </c>
      <c r="F51" s="4">
        <v>42132</v>
      </c>
      <c r="G51" s="4" t="s">
        <v>432</v>
      </c>
      <c r="H51" s="4" t="s">
        <v>433</v>
      </c>
      <c r="I51" s="4"/>
      <c r="J51" s="4"/>
      <c r="K51" s="4">
        <v>212</v>
      </c>
      <c r="L51" s="4">
        <v>32</v>
      </c>
      <c r="M51" s="4">
        <v>0</v>
      </c>
      <c r="N51" s="4" t="s">
        <v>3</v>
      </c>
      <c r="O51" s="4">
        <v>0</v>
      </c>
      <c r="P51" s="4"/>
    </row>
    <row r="52" spans="1:27">
      <c r="A52" s="4">
        <v>50</v>
      </c>
      <c r="B52" s="4">
        <v>1</v>
      </c>
      <c r="C52" s="4">
        <v>0</v>
      </c>
      <c r="D52" s="4">
        <v>2</v>
      </c>
      <c r="E52" s="4">
        <v>0</v>
      </c>
      <c r="F52" s="4">
        <v>342495</v>
      </c>
      <c r="G52" s="4" t="s">
        <v>434</v>
      </c>
      <c r="H52" s="4" t="s">
        <v>154</v>
      </c>
      <c r="I52" s="4"/>
      <c r="J52" s="4"/>
      <c r="K52" s="4">
        <v>212</v>
      </c>
      <c r="L52" s="4">
        <v>33</v>
      </c>
      <c r="M52" s="4">
        <v>0</v>
      </c>
      <c r="N52" s="4" t="s">
        <v>3</v>
      </c>
      <c r="O52" s="4">
        <v>0</v>
      </c>
      <c r="P52" s="4"/>
    </row>
    <row r="53" spans="1:27">
      <c r="A53" s="4">
        <v>50</v>
      </c>
      <c r="B53" s="4">
        <v>1</v>
      </c>
      <c r="C53" s="4">
        <v>0</v>
      </c>
      <c r="D53" s="4">
        <v>2</v>
      </c>
      <c r="E53" s="4">
        <v>0</v>
      </c>
      <c r="F53" s="4">
        <v>34983</v>
      </c>
      <c r="G53" s="4" t="s">
        <v>435</v>
      </c>
      <c r="H53" s="4" t="s">
        <v>436</v>
      </c>
      <c r="I53" s="4"/>
      <c r="J53" s="4"/>
      <c r="K53" s="4">
        <v>212</v>
      </c>
      <c r="L53" s="4">
        <v>34</v>
      </c>
      <c r="M53" s="4">
        <v>0</v>
      </c>
      <c r="N53" s="4" t="s">
        <v>437</v>
      </c>
      <c r="O53" s="4">
        <v>0</v>
      </c>
      <c r="P53" s="4"/>
    </row>
    <row r="54" spans="1:27">
      <c r="A54" s="4">
        <v>50</v>
      </c>
      <c r="B54" s="4">
        <v>1</v>
      </c>
      <c r="C54" s="4">
        <v>0</v>
      </c>
      <c r="D54" s="4">
        <v>2</v>
      </c>
      <c r="E54" s="4">
        <v>213</v>
      </c>
      <c r="F54" s="4">
        <v>377478</v>
      </c>
      <c r="G54" s="4" t="s">
        <v>438</v>
      </c>
      <c r="H54" s="4" t="s">
        <v>439</v>
      </c>
      <c r="I54" s="4"/>
      <c r="J54" s="4"/>
      <c r="K54" s="4">
        <v>212</v>
      </c>
      <c r="L54" s="4">
        <v>35</v>
      </c>
      <c r="M54" s="4">
        <v>0</v>
      </c>
      <c r="N54" s="4" t="s">
        <v>3</v>
      </c>
      <c r="O54" s="4">
        <v>0</v>
      </c>
      <c r="P54" s="4"/>
    </row>
    <row r="56" spans="1:27">
      <c r="A56">
        <v>-1</v>
      </c>
    </row>
    <row r="59" spans="1:27">
      <c r="A59" s="3">
        <v>75</v>
      </c>
      <c r="B59" s="3" t="s">
        <v>504</v>
      </c>
      <c r="C59" s="3">
        <v>2018</v>
      </c>
      <c r="D59" s="3">
        <v>0</v>
      </c>
      <c r="E59" s="3">
        <v>12</v>
      </c>
      <c r="F59" s="3"/>
      <c r="G59" s="3">
        <v>0</v>
      </c>
      <c r="H59" s="3">
        <v>1</v>
      </c>
      <c r="I59" s="3">
        <v>0</v>
      </c>
      <c r="J59" s="3">
        <v>1</v>
      </c>
      <c r="K59" s="3">
        <v>0</v>
      </c>
      <c r="L59" s="3">
        <v>0</v>
      </c>
      <c r="M59" s="3">
        <v>0</v>
      </c>
      <c r="N59" s="3">
        <v>48370320</v>
      </c>
      <c r="O59" s="3">
        <v>1</v>
      </c>
    </row>
    <row r="60" spans="1:27">
      <c r="A60" s="6">
        <v>1</v>
      </c>
      <c r="B60" s="6" t="s">
        <v>505</v>
      </c>
      <c r="C60" s="6" t="s">
        <v>506</v>
      </c>
      <c r="D60" s="6">
        <v>2020</v>
      </c>
      <c r="E60" s="6">
        <v>9</v>
      </c>
      <c r="F60" s="6">
        <v>1</v>
      </c>
      <c r="G60" s="6">
        <v>1</v>
      </c>
      <c r="H60" s="6">
        <v>0</v>
      </c>
      <c r="I60" s="6">
        <v>2</v>
      </c>
      <c r="J60" s="6">
        <v>1</v>
      </c>
      <c r="K60" s="6">
        <v>1</v>
      </c>
      <c r="L60" s="6">
        <v>1</v>
      </c>
      <c r="M60" s="6">
        <v>1</v>
      </c>
      <c r="N60" s="6">
        <v>1</v>
      </c>
      <c r="O60" s="6">
        <v>1</v>
      </c>
      <c r="P60" s="6">
        <v>1</v>
      </c>
      <c r="Q60" s="6">
        <v>1</v>
      </c>
      <c r="R60" s="6" t="s">
        <v>3</v>
      </c>
      <c r="S60" s="6" t="s">
        <v>3</v>
      </c>
      <c r="T60" s="6" t="s">
        <v>3</v>
      </c>
      <c r="U60" s="6" t="s">
        <v>3</v>
      </c>
      <c r="V60" s="6" t="s">
        <v>3</v>
      </c>
      <c r="W60" s="6" t="s">
        <v>3</v>
      </c>
      <c r="X60" s="6" t="s">
        <v>3</v>
      </c>
      <c r="Y60" s="6" t="s">
        <v>3</v>
      </c>
      <c r="Z60" s="6" t="s">
        <v>3</v>
      </c>
      <c r="AA60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B481"/>
  <sheetViews>
    <sheetView workbookViewId="0"/>
  </sheetViews>
  <sheetFormatPr defaultColWidth="9.109375" defaultRowHeight="13.2"/>
  <cols>
    <col min="1" max="256" width="9.109375" customWidth="1"/>
  </cols>
  <sheetData>
    <row r="1" spans="1:106">
      <c r="A1">
        <f>ROW(Source!A28)</f>
        <v>28</v>
      </c>
      <c r="B1">
        <v>48370320</v>
      </c>
      <c r="C1">
        <v>48370397</v>
      </c>
      <c r="D1">
        <v>23129536</v>
      </c>
      <c r="E1">
        <v>1</v>
      </c>
      <c r="F1">
        <v>1</v>
      </c>
      <c r="G1">
        <v>1</v>
      </c>
      <c r="H1">
        <v>1</v>
      </c>
      <c r="I1" t="s">
        <v>508</v>
      </c>
      <c r="J1" t="s">
        <v>3</v>
      </c>
      <c r="K1" t="s">
        <v>509</v>
      </c>
      <c r="L1">
        <v>1369</v>
      </c>
      <c r="N1">
        <v>1013</v>
      </c>
      <c r="O1" t="s">
        <v>510</v>
      </c>
      <c r="P1" t="s">
        <v>510</v>
      </c>
      <c r="Q1">
        <v>1</v>
      </c>
      <c r="W1">
        <v>0</v>
      </c>
      <c r="X1">
        <v>1663406391</v>
      </c>
      <c r="Y1">
        <v>8.24</v>
      </c>
      <c r="AA1">
        <v>0</v>
      </c>
      <c r="AB1">
        <v>0</v>
      </c>
      <c r="AC1">
        <v>0</v>
      </c>
      <c r="AD1">
        <v>8.2799999999999994</v>
      </c>
      <c r="AE1">
        <v>0</v>
      </c>
      <c r="AF1">
        <v>0</v>
      </c>
      <c r="AG1">
        <v>0</v>
      </c>
      <c r="AH1">
        <v>8.2799999999999994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8.24</v>
      </c>
      <c r="AU1" t="s">
        <v>3</v>
      </c>
      <c r="AV1">
        <v>1</v>
      </c>
      <c r="AW1">
        <v>2</v>
      </c>
      <c r="AX1">
        <v>48370398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4.0788000000000002</v>
      </c>
      <c r="CY1">
        <f>AD1</f>
        <v>8.2799999999999994</v>
      </c>
      <c r="CZ1">
        <f>AH1</f>
        <v>8.2799999999999994</v>
      </c>
      <c r="DA1">
        <f>AL1</f>
        <v>1</v>
      </c>
      <c r="DB1">
        <v>0</v>
      </c>
    </row>
    <row r="2" spans="1:106">
      <c r="A2">
        <f>ROW(Source!A28)</f>
        <v>28</v>
      </c>
      <c r="B2">
        <v>48370320</v>
      </c>
      <c r="C2">
        <v>48370397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24</v>
      </c>
      <c r="J2" t="s">
        <v>3</v>
      </c>
      <c r="K2" t="s">
        <v>511</v>
      </c>
      <c r="L2">
        <v>608254</v>
      </c>
      <c r="N2">
        <v>1013</v>
      </c>
      <c r="O2" t="s">
        <v>512</v>
      </c>
      <c r="P2" t="s">
        <v>512</v>
      </c>
      <c r="Q2">
        <v>1</v>
      </c>
      <c r="W2">
        <v>0</v>
      </c>
      <c r="X2">
        <v>-185737400</v>
      </c>
      <c r="Y2">
        <v>1.1499999999999999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1.1499999999999999</v>
      </c>
      <c r="AU2" t="s">
        <v>3</v>
      </c>
      <c r="AV2">
        <v>2</v>
      </c>
      <c r="AW2">
        <v>2</v>
      </c>
      <c r="AX2">
        <v>48370399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0.56924999999999992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>
      <c r="A3">
        <f>ROW(Source!A28)</f>
        <v>28</v>
      </c>
      <c r="B3">
        <v>48370320</v>
      </c>
      <c r="C3">
        <v>48370397</v>
      </c>
      <c r="D3">
        <v>37802699</v>
      </c>
      <c r="E3">
        <v>1</v>
      </c>
      <c r="F3">
        <v>1</v>
      </c>
      <c r="G3">
        <v>1</v>
      </c>
      <c r="H3">
        <v>2</v>
      </c>
      <c r="I3" t="s">
        <v>513</v>
      </c>
      <c r="J3" t="s">
        <v>514</v>
      </c>
      <c r="K3" t="s">
        <v>515</v>
      </c>
      <c r="L3">
        <v>1368</v>
      </c>
      <c r="N3">
        <v>1011</v>
      </c>
      <c r="O3" t="s">
        <v>516</v>
      </c>
      <c r="P3" t="s">
        <v>516</v>
      </c>
      <c r="Q3">
        <v>1</v>
      </c>
      <c r="W3">
        <v>0</v>
      </c>
      <c r="X3">
        <v>2133576372</v>
      </c>
      <c r="Y3">
        <v>1.1499999999999999</v>
      </c>
      <c r="AA3">
        <v>0</v>
      </c>
      <c r="AB3">
        <v>591.41999999999996</v>
      </c>
      <c r="AC3">
        <v>187.92</v>
      </c>
      <c r="AD3">
        <v>0</v>
      </c>
      <c r="AE3">
        <v>0</v>
      </c>
      <c r="AF3">
        <v>59.38</v>
      </c>
      <c r="AG3">
        <v>9</v>
      </c>
      <c r="AH3">
        <v>0</v>
      </c>
      <c r="AI3">
        <v>1</v>
      </c>
      <c r="AJ3">
        <v>9.9600000000000009</v>
      </c>
      <c r="AK3">
        <v>20.88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1.1499999999999999</v>
      </c>
      <c r="AU3" t="s">
        <v>3</v>
      </c>
      <c r="AV3">
        <v>0</v>
      </c>
      <c r="AW3">
        <v>2</v>
      </c>
      <c r="AX3">
        <v>48370400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0.56924999999999992</v>
      </c>
      <c r="CY3">
        <f>AB3</f>
        <v>591.41999999999996</v>
      </c>
      <c r="CZ3">
        <f>AF3</f>
        <v>59.38</v>
      </c>
      <c r="DA3">
        <f>AJ3</f>
        <v>9.9600000000000009</v>
      </c>
      <c r="DB3">
        <v>0</v>
      </c>
    </row>
    <row r="4" spans="1:106">
      <c r="A4">
        <f>ROW(Source!A28)</f>
        <v>28</v>
      </c>
      <c r="B4">
        <v>48370320</v>
      </c>
      <c r="C4">
        <v>48370397</v>
      </c>
      <c r="D4">
        <v>37804095</v>
      </c>
      <c r="E4">
        <v>1</v>
      </c>
      <c r="F4">
        <v>1</v>
      </c>
      <c r="G4">
        <v>1</v>
      </c>
      <c r="H4">
        <v>2</v>
      </c>
      <c r="I4" t="s">
        <v>517</v>
      </c>
      <c r="J4" t="s">
        <v>518</v>
      </c>
      <c r="K4" t="s">
        <v>519</v>
      </c>
      <c r="L4">
        <v>1368</v>
      </c>
      <c r="N4">
        <v>1011</v>
      </c>
      <c r="O4" t="s">
        <v>516</v>
      </c>
      <c r="P4" t="s">
        <v>516</v>
      </c>
      <c r="Q4">
        <v>1</v>
      </c>
      <c r="W4">
        <v>0</v>
      </c>
      <c r="X4">
        <v>1159152410</v>
      </c>
      <c r="Y4">
        <v>2.2999999999999998</v>
      </c>
      <c r="AA4">
        <v>0</v>
      </c>
      <c r="AB4">
        <v>5.53</v>
      </c>
      <c r="AC4">
        <v>0</v>
      </c>
      <c r="AD4">
        <v>0</v>
      </c>
      <c r="AE4">
        <v>0</v>
      </c>
      <c r="AF4">
        <v>1.69</v>
      </c>
      <c r="AG4">
        <v>0</v>
      </c>
      <c r="AH4">
        <v>0</v>
      </c>
      <c r="AI4">
        <v>1</v>
      </c>
      <c r="AJ4">
        <v>3.27</v>
      </c>
      <c r="AK4">
        <v>20.88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2.2999999999999998</v>
      </c>
      <c r="AU4" t="s">
        <v>3</v>
      </c>
      <c r="AV4">
        <v>0</v>
      </c>
      <c r="AW4">
        <v>2</v>
      </c>
      <c r="AX4">
        <v>48370401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1.1384999999999998</v>
      </c>
      <c r="CY4">
        <f>AB4</f>
        <v>5.53</v>
      </c>
      <c r="CZ4">
        <f>AF4</f>
        <v>1.69</v>
      </c>
      <c r="DA4">
        <f>AJ4</f>
        <v>3.27</v>
      </c>
      <c r="DB4">
        <v>0</v>
      </c>
    </row>
    <row r="5" spans="1:106">
      <c r="A5">
        <f>ROW(Source!A29)</f>
        <v>29</v>
      </c>
      <c r="B5">
        <v>48370320</v>
      </c>
      <c r="C5">
        <v>48370427</v>
      </c>
      <c r="D5">
        <v>23134555</v>
      </c>
      <c r="E5">
        <v>1</v>
      </c>
      <c r="F5">
        <v>1</v>
      </c>
      <c r="G5">
        <v>1</v>
      </c>
      <c r="H5">
        <v>1</v>
      </c>
      <c r="I5" t="s">
        <v>520</v>
      </c>
      <c r="J5" t="s">
        <v>3</v>
      </c>
      <c r="K5" t="s">
        <v>521</v>
      </c>
      <c r="L5">
        <v>1369</v>
      </c>
      <c r="N5">
        <v>1013</v>
      </c>
      <c r="O5" t="s">
        <v>510</v>
      </c>
      <c r="P5" t="s">
        <v>510</v>
      </c>
      <c r="Q5">
        <v>1</v>
      </c>
      <c r="W5">
        <v>0</v>
      </c>
      <c r="X5">
        <v>-1593017532</v>
      </c>
      <c r="Y5">
        <v>12.3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12.3</v>
      </c>
      <c r="AU5" t="s">
        <v>3</v>
      </c>
      <c r="AV5">
        <v>1</v>
      </c>
      <c r="AW5">
        <v>2</v>
      </c>
      <c r="AX5">
        <v>48370428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Y5*Source!I29</f>
        <v>1.2300000000000002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>
      <c r="A6">
        <f>ROW(Source!A29)</f>
        <v>29</v>
      </c>
      <c r="B6">
        <v>48370320</v>
      </c>
      <c r="C6">
        <v>48370427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24</v>
      </c>
      <c r="J6" t="s">
        <v>3</v>
      </c>
      <c r="K6" t="s">
        <v>511</v>
      </c>
      <c r="L6">
        <v>608254</v>
      </c>
      <c r="N6">
        <v>1013</v>
      </c>
      <c r="O6" t="s">
        <v>512</v>
      </c>
      <c r="P6" t="s">
        <v>512</v>
      </c>
      <c r="Q6">
        <v>1</v>
      </c>
      <c r="W6">
        <v>0</v>
      </c>
      <c r="X6">
        <v>-185737400</v>
      </c>
      <c r="Y6">
        <v>2.54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2.54</v>
      </c>
      <c r="AU6" t="s">
        <v>3</v>
      </c>
      <c r="AV6">
        <v>2</v>
      </c>
      <c r="AW6">
        <v>2</v>
      </c>
      <c r="AX6">
        <v>48370429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Y6*Source!I29</f>
        <v>0.254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>
      <c r="A7">
        <f>ROW(Source!A29)</f>
        <v>29</v>
      </c>
      <c r="B7">
        <v>48370320</v>
      </c>
      <c r="C7">
        <v>48370427</v>
      </c>
      <c r="D7">
        <v>37802699</v>
      </c>
      <c r="E7">
        <v>1</v>
      </c>
      <c r="F7">
        <v>1</v>
      </c>
      <c r="G7">
        <v>1</v>
      </c>
      <c r="H7">
        <v>2</v>
      </c>
      <c r="I7" t="s">
        <v>513</v>
      </c>
      <c r="J7" t="s">
        <v>514</v>
      </c>
      <c r="K7" t="s">
        <v>515</v>
      </c>
      <c r="L7">
        <v>1368</v>
      </c>
      <c r="N7">
        <v>1011</v>
      </c>
      <c r="O7" t="s">
        <v>516</v>
      </c>
      <c r="P7" t="s">
        <v>516</v>
      </c>
      <c r="Q7">
        <v>1</v>
      </c>
      <c r="W7">
        <v>0</v>
      </c>
      <c r="X7">
        <v>2133576372</v>
      </c>
      <c r="Y7">
        <v>2.54</v>
      </c>
      <c r="AA7">
        <v>0</v>
      </c>
      <c r="AB7">
        <v>591.41999999999996</v>
      </c>
      <c r="AC7">
        <v>187.92</v>
      </c>
      <c r="AD7">
        <v>0</v>
      </c>
      <c r="AE7">
        <v>0</v>
      </c>
      <c r="AF7">
        <v>59.38</v>
      </c>
      <c r="AG7">
        <v>9</v>
      </c>
      <c r="AH7">
        <v>0</v>
      </c>
      <c r="AI7">
        <v>1</v>
      </c>
      <c r="AJ7">
        <v>9.9600000000000009</v>
      </c>
      <c r="AK7">
        <v>20.88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2.54</v>
      </c>
      <c r="AU7" t="s">
        <v>3</v>
      </c>
      <c r="AV7">
        <v>0</v>
      </c>
      <c r="AW7">
        <v>2</v>
      </c>
      <c r="AX7">
        <v>48370430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Y7*Source!I29</f>
        <v>0.254</v>
      </c>
      <c r="CY7">
        <f>AB7</f>
        <v>591.41999999999996</v>
      </c>
      <c r="CZ7">
        <f>AF7</f>
        <v>59.38</v>
      </c>
      <c r="DA7">
        <f>AJ7</f>
        <v>9.9600000000000009</v>
      </c>
      <c r="DB7">
        <v>0</v>
      </c>
    </row>
    <row r="8" spans="1:106">
      <c r="A8">
        <f>ROW(Source!A29)</f>
        <v>29</v>
      </c>
      <c r="B8">
        <v>48370320</v>
      </c>
      <c r="C8">
        <v>48370427</v>
      </c>
      <c r="D8">
        <v>37804095</v>
      </c>
      <c r="E8">
        <v>1</v>
      </c>
      <c r="F8">
        <v>1</v>
      </c>
      <c r="G8">
        <v>1</v>
      </c>
      <c r="H8">
        <v>2</v>
      </c>
      <c r="I8" t="s">
        <v>517</v>
      </c>
      <c r="J8" t="s">
        <v>518</v>
      </c>
      <c r="K8" t="s">
        <v>519</v>
      </c>
      <c r="L8">
        <v>1368</v>
      </c>
      <c r="N8">
        <v>1011</v>
      </c>
      <c r="O8" t="s">
        <v>516</v>
      </c>
      <c r="P8" t="s">
        <v>516</v>
      </c>
      <c r="Q8">
        <v>1</v>
      </c>
      <c r="W8">
        <v>0</v>
      </c>
      <c r="X8">
        <v>1159152410</v>
      </c>
      <c r="Y8">
        <v>5.08</v>
      </c>
      <c r="AA8">
        <v>0</v>
      </c>
      <c r="AB8">
        <v>5.53</v>
      </c>
      <c r="AC8">
        <v>0</v>
      </c>
      <c r="AD8">
        <v>0</v>
      </c>
      <c r="AE8">
        <v>0</v>
      </c>
      <c r="AF8">
        <v>1.69</v>
      </c>
      <c r="AG8">
        <v>0</v>
      </c>
      <c r="AH8">
        <v>0</v>
      </c>
      <c r="AI8">
        <v>1</v>
      </c>
      <c r="AJ8">
        <v>3.27</v>
      </c>
      <c r="AK8">
        <v>20.88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5.08</v>
      </c>
      <c r="AU8" t="s">
        <v>3</v>
      </c>
      <c r="AV8">
        <v>0</v>
      </c>
      <c r="AW8">
        <v>2</v>
      </c>
      <c r="AX8">
        <v>48370431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Y8*Source!I29</f>
        <v>0.50800000000000001</v>
      </c>
      <c r="CY8">
        <f>AB8</f>
        <v>5.53</v>
      </c>
      <c r="CZ8">
        <f>AF8</f>
        <v>1.69</v>
      </c>
      <c r="DA8">
        <f>AJ8</f>
        <v>3.27</v>
      </c>
      <c r="DB8">
        <v>0</v>
      </c>
    </row>
    <row r="9" spans="1:106">
      <c r="A9">
        <f>ROW(Source!A30)</f>
        <v>30</v>
      </c>
      <c r="B9">
        <v>48370320</v>
      </c>
      <c r="C9">
        <v>48370433</v>
      </c>
      <c r="D9">
        <v>23134047</v>
      </c>
      <c r="E9">
        <v>1</v>
      </c>
      <c r="F9">
        <v>1</v>
      </c>
      <c r="G9">
        <v>1</v>
      </c>
      <c r="H9">
        <v>1</v>
      </c>
      <c r="I9" t="s">
        <v>522</v>
      </c>
      <c r="J9" t="s">
        <v>3</v>
      </c>
      <c r="K9" t="s">
        <v>523</v>
      </c>
      <c r="L9">
        <v>1369</v>
      </c>
      <c r="N9">
        <v>1013</v>
      </c>
      <c r="O9" t="s">
        <v>510</v>
      </c>
      <c r="P9" t="s">
        <v>510</v>
      </c>
      <c r="Q9">
        <v>1</v>
      </c>
      <c r="W9">
        <v>0</v>
      </c>
      <c r="X9">
        <v>859696649</v>
      </c>
      <c r="Y9">
        <v>165.88</v>
      </c>
      <c r="AA9">
        <v>0</v>
      </c>
      <c r="AB9">
        <v>0</v>
      </c>
      <c r="AC9">
        <v>0</v>
      </c>
      <c r="AD9">
        <v>8.07</v>
      </c>
      <c r="AE9">
        <v>0</v>
      </c>
      <c r="AF9">
        <v>0</v>
      </c>
      <c r="AG9">
        <v>0</v>
      </c>
      <c r="AH9">
        <v>8.07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165.88</v>
      </c>
      <c r="AU9" t="s">
        <v>3</v>
      </c>
      <c r="AV9">
        <v>1</v>
      </c>
      <c r="AW9">
        <v>2</v>
      </c>
      <c r="AX9">
        <v>48370434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Y9*Source!I30</f>
        <v>1.6588000000000001</v>
      </c>
      <c r="CY9">
        <f>AD9</f>
        <v>8.07</v>
      </c>
      <c r="CZ9">
        <f>AH9</f>
        <v>8.07</v>
      </c>
      <c r="DA9">
        <f>AL9</f>
        <v>1</v>
      </c>
      <c r="DB9">
        <v>0</v>
      </c>
    </row>
    <row r="10" spans="1:106">
      <c r="A10">
        <f>ROW(Source!A30)</f>
        <v>30</v>
      </c>
      <c r="B10">
        <v>48370320</v>
      </c>
      <c r="C10">
        <v>48370433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24</v>
      </c>
      <c r="J10" t="s">
        <v>3</v>
      </c>
      <c r="K10" t="s">
        <v>511</v>
      </c>
      <c r="L10">
        <v>608254</v>
      </c>
      <c r="N10">
        <v>1013</v>
      </c>
      <c r="O10" t="s">
        <v>512</v>
      </c>
      <c r="P10" t="s">
        <v>512</v>
      </c>
      <c r="Q10">
        <v>1</v>
      </c>
      <c r="W10">
        <v>0</v>
      </c>
      <c r="X10">
        <v>-185737400</v>
      </c>
      <c r="Y10">
        <v>0.47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0.47</v>
      </c>
      <c r="AU10" t="s">
        <v>3</v>
      </c>
      <c r="AV10">
        <v>2</v>
      </c>
      <c r="AW10">
        <v>2</v>
      </c>
      <c r="AX10">
        <v>48370435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Y10*Source!I30</f>
        <v>4.7000000000000002E-3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>
      <c r="A11">
        <f>ROW(Source!A30)</f>
        <v>30</v>
      </c>
      <c r="B11">
        <v>48370320</v>
      </c>
      <c r="C11">
        <v>48370433</v>
      </c>
      <c r="D11">
        <v>37802541</v>
      </c>
      <c r="E11">
        <v>1</v>
      </c>
      <c r="F11">
        <v>1</v>
      </c>
      <c r="G11">
        <v>1</v>
      </c>
      <c r="H11">
        <v>2</v>
      </c>
      <c r="I11" t="s">
        <v>524</v>
      </c>
      <c r="J11" t="s">
        <v>525</v>
      </c>
      <c r="K11" t="s">
        <v>526</v>
      </c>
      <c r="L11">
        <v>1368</v>
      </c>
      <c r="N11">
        <v>1011</v>
      </c>
      <c r="O11" t="s">
        <v>516</v>
      </c>
      <c r="P11" t="s">
        <v>516</v>
      </c>
      <c r="Q11">
        <v>1</v>
      </c>
      <c r="W11">
        <v>0</v>
      </c>
      <c r="X11">
        <v>-946971640</v>
      </c>
      <c r="Y11">
        <v>0.16</v>
      </c>
      <c r="AA11">
        <v>0</v>
      </c>
      <c r="AB11">
        <v>7.81</v>
      </c>
      <c r="AC11">
        <v>0</v>
      </c>
      <c r="AD11">
        <v>0</v>
      </c>
      <c r="AE11">
        <v>0</v>
      </c>
      <c r="AF11">
        <v>1.85</v>
      </c>
      <c r="AG11">
        <v>0</v>
      </c>
      <c r="AH11">
        <v>0</v>
      </c>
      <c r="AI11">
        <v>1</v>
      </c>
      <c r="AJ11">
        <v>4.22</v>
      </c>
      <c r="AK11">
        <v>20.88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0.16</v>
      </c>
      <c r="AU11" t="s">
        <v>3</v>
      </c>
      <c r="AV11">
        <v>0</v>
      </c>
      <c r="AW11">
        <v>2</v>
      </c>
      <c r="AX11">
        <v>48370436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Y11*Source!I30</f>
        <v>1.6000000000000001E-3</v>
      </c>
      <c r="CY11">
        <f>AB11</f>
        <v>7.81</v>
      </c>
      <c r="CZ11">
        <f>AF11</f>
        <v>1.85</v>
      </c>
      <c r="DA11">
        <f>AJ11</f>
        <v>4.22</v>
      </c>
      <c r="DB11">
        <v>0</v>
      </c>
    </row>
    <row r="12" spans="1:106">
      <c r="A12">
        <f>ROW(Source!A30)</f>
        <v>30</v>
      </c>
      <c r="B12">
        <v>48370320</v>
      </c>
      <c r="C12">
        <v>48370433</v>
      </c>
      <c r="D12">
        <v>37802657</v>
      </c>
      <c r="E12">
        <v>1</v>
      </c>
      <c r="F12">
        <v>1</v>
      </c>
      <c r="G12">
        <v>1</v>
      </c>
      <c r="H12">
        <v>2</v>
      </c>
      <c r="I12" t="s">
        <v>527</v>
      </c>
      <c r="J12" t="s">
        <v>528</v>
      </c>
      <c r="K12" t="s">
        <v>529</v>
      </c>
      <c r="L12">
        <v>1368</v>
      </c>
      <c r="N12">
        <v>1011</v>
      </c>
      <c r="O12" t="s">
        <v>516</v>
      </c>
      <c r="P12" t="s">
        <v>516</v>
      </c>
      <c r="Q12">
        <v>1</v>
      </c>
      <c r="W12">
        <v>0</v>
      </c>
      <c r="X12">
        <v>1084334125</v>
      </c>
      <c r="Y12">
        <v>0.74</v>
      </c>
      <c r="AA12">
        <v>0</v>
      </c>
      <c r="AB12">
        <v>46.89</v>
      </c>
      <c r="AC12">
        <v>0</v>
      </c>
      <c r="AD12">
        <v>0</v>
      </c>
      <c r="AE12">
        <v>0</v>
      </c>
      <c r="AF12">
        <v>7.55</v>
      </c>
      <c r="AG12">
        <v>0</v>
      </c>
      <c r="AH12">
        <v>0</v>
      </c>
      <c r="AI12">
        <v>1</v>
      </c>
      <c r="AJ12">
        <v>6.21</v>
      </c>
      <c r="AK12">
        <v>20.88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0.74</v>
      </c>
      <c r="AU12" t="s">
        <v>3</v>
      </c>
      <c r="AV12">
        <v>0</v>
      </c>
      <c r="AW12">
        <v>2</v>
      </c>
      <c r="AX12">
        <v>48370437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Y12*Source!I30</f>
        <v>7.4000000000000003E-3</v>
      </c>
      <c r="CY12">
        <f>AB12</f>
        <v>46.89</v>
      </c>
      <c r="CZ12">
        <f>AF12</f>
        <v>7.55</v>
      </c>
      <c r="DA12">
        <f>AJ12</f>
        <v>6.21</v>
      </c>
      <c r="DB12">
        <v>0</v>
      </c>
    </row>
    <row r="13" spans="1:106">
      <c r="A13">
        <f>ROW(Source!A30)</f>
        <v>30</v>
      </c>
      <c r="B13">
        <v>48370320</v>
      </c>
      <c r="C13">
        <v>48370433</v>
      </c>
      <c r="D13">
        <v>37802699</v>
      </c>
      <c r="E13">
        <v>1</v>
      </c>
      <c r="F13">
        <v>1</v>
      </c>
      <c r="G13">
        <v>1</v>
      </c>
      <c r="H13">
        <v>2</v>
      </c>
      <c r="I13" t="s">
        <v>513</v>
      </c>
      <c r="J13" t="s">
        <v>514</v>
      </c>
      <c r="K13" t="s">
        <v>515</v>
      </c>
      <c r="L13">
        <v>1368</v>
      </c>
      <c r="N13">
        <v>1011</v>
      </c>
      <c r="O13" t="s">
        <v>516</v>
      </c>
      <c r="P13" t="s">
        <v>516</v>
      </c>
      <c r="Q13">
        <v>1</v>
      </c>
      <c r="W13">
        <v>0</v>
      </c>
      <c r="X13">
        <v>2133576372</v>
      </c>
      <c r="Y13">
        <v>0.47</v>
      </c>
      <c r="AA13">
        <v>0</v>
      </c>
      <c r="AB13">
        <v>591.41999999999996</v>
      </c>
      <c r="AC13">
        <v>187.92</v>
      </c>
      <c r="AD13">
        <v>0</v>
      </c>
      <c r="AE13">
        <v>0</v>
      </c>
      <c r="AF13">
        <v>59.38</v>
      </c>
      <c r="AG13">
        <v>9</v>
      </c>
      <c r="AH13">
        <v>0</v>
      </c>
      <c r="AI13">
        <v>1</v>
      </c>
      <c r="AJ13">
        <v>9.9600000000000009</v>
      </c>
      <c r="AK13">
        <v>20.88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0.47</v>
      </c>
      <c r="AU13" t="s">
        <v>3</v>
      </c>
      <c r="AV13">
        <v>0</v>
      </c>
      <c r="AW13">
        <v>2</v>
      </c>
      <c r="AX13">
        <v>48370438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4.7000000000000002E-3</v>
      </c>
      <c r="CY13">
        <f>AB13</f>
        <v>591.41999999999996</v>
      </c>
      <c r="CZ13">
        <f>AF13</f>
        <v>59.38</v>
      </c>
      <c r="DA13">
        <f>AJ13</f>
        <v>9.9600000000000009</v>
      </c>
      <c r="DB13">
        <v>0</v>
      </c>
    </row>
    <row r="14" spans="1:106">
      <c r="A14">
        <f>ROW(Source!A30)</f>
        <v>30</v>
      </c>
      <c r="B14">
        <v>48370320</v>
      </c>
      <c r="C14">
        <v>48370433</v>
      </c>
      <c r="D14">
        <v>37804095</v>
      </c>
      <c r="E14">
        <v>1</v>
      </c>
      <c r="F14">
        <v>1</v>
      </c>
      <c r="G14">
        <v>1</v>
      </c>
      <c r="H14">
        <v>2</v>
      </c>
      <c r="I14" t="s">
        <v>517</v>
      </c>
      <c r="J14" t="s">
        <v>518</v>
      </c>
      <c r="K14" t="s">
        <v>519</v>
      </c>
      <c r="L14">
        <v>1368</v>
      </c>
      <c r="N14">
        <v>1011</v>
      </c>
      <c r="O14" t="s">
        <v>516</v>
      </c>
      <c r="P14" t="s">
        <v>516</v>
      </c>
      <c r="Q14">
        <v>1</v>
      </c>
      <c r="W14">
        <v>0</v>
      </c>
      <c r="X14">
        <v>1159152410</v>
      </c>
      <c r="Y14">
        <v>0.92</v>
      </c>
      <c r="AA14">
        <v>0</v>
      </c>
      <c r="AB14">
        <v>5.53</v>
      </c>
      <c r="AC14">
        <v>0</v>
      </c>
      <c r="AD14">
        <v>0</v>
      </c>
      <c r="AE14">
        <v>0</v>
      </c>
      <c r="AF14">
        <v>1.69</v>
      </c>
      <c r="AG14">
        <v>0</v>
      </c>
      <c r="AH14">
        <v>0</v>
      </c>
      <c r="AI14">
        <v>1</v>
      </c>
      <c r="AJ14">
        <v>3.27</v>
      </c>
      <c r="AK14">
        <v>20.88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0.92</v>
      </c>
      <c r="AU14" t="s">
        <v>3</v>
      </c>
      <c r="AV14">
        <v>0</v>
      </c>
      <c r="AW14">
        <v>2</v>
      </c>
      <c r="AX14">
        <v>48370439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9.1999999999999998E-3</v>
      </c>
      <c r="CY14">
        <f>AB14</f>
        <v>5.53</v>
      </c>
      <c r="CZ14">
        <f>AF14</f>
        <v>1.69</v>
      </c>
      <c r="DA14">
        <f>AJ14</f>
        <v>3.27</v>
      </c>
      <c r="DB14">
        <v>0</v>
      </c>
    </row>
    <row r="15" spans="1:106">
      <c r="A15">
        <f>ROW(Source!A30)</f>
        <v>30</v>
      </c>
      <c r="B15">
        <v>48370320</v>
      </c>
      <c r="C15">
        <v>48370433</v>
      </c>
      <c r="D15">
        <v>37804456</v>
      </c>
      <c r="E15">
        <v>1</v>
      </c>
      <c r="F15">
        <v>1</v>
      </c>
      <c r="G15">
        <v>1</v>
      </c>
      <c r="H15">
        <v>2</v>
      </c>
      <c r="I15" t="s">
        <v>530</v>
      </c>
      <c r="J15" t="s">
        <v>531</v>
      </c>
      <c r="K15" t="s">
        <v>532</v>
      </c>
      <c r="L15">
        <v>1368</v>
      </c>
      <c r="N15">
        <v>1011</v>
      </c>
      <c r="O15" t="s">
        <v>516</v>
      </c>
      <c r="P15" t="s">
        <v>516</v>
      </c>
      <c r="Q15">
        <v>1</v>
      </c>
      <c r="W15">
        <v>0</v>
      </c>
      <c r="X15">
        <v>-671646184</v>
      </c>
      <c r="Y15">
        <v>0.2</v>
      </c>
      <c r="AA15">
        <v>0</v>
      </c>
      <c r="AB15">
        <v>844.19</v>
      </c>
      <c r="AC15">
        <v>216.11</v>
      </c>
      <c r="AD15">
        <v>0</v>
      </c>
      <c r="AE15">
        <v>0</v>
      </c>
      <c r="AF15">
        <v>91.76</v>
      </c>
      <c r="AG15">
        <v>10.35</v>
      </c>
      <c r="AH15">
        <v>0</v>
      </c>
      <c r="AI15">
        <v>1</v>
      </c>
      <c r="AJ15">
        <v>9.1999999999999993</v>
      </c>
      <c r="AK15">
        <v>20.88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0.2</v>
      </c>
      <c r="AU15" t="s">
        <v>3</v>
      </c>
      <c r="AV15">
        <v>0</v>
      </c>
      <c r="AW15">
        <v>2</v>
      </c>
      <c r="AX15">
        <v>48370440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2E-3</v>
      </c>
      <c r="CY15">
        <f>AB15</f>
        <v>844.19</v>
      </c>
      <c r="CZ15">
        <f>AF15</f>
        <v>91.76</v>
      </c>
      <c r="DA15">
        <f>AJ15</f>
        <v>9.1999999999999993</v>
      </c>
      <c r="DB15">
        <v>0</v>
      </c>
    </row>
    <row r="16" spans="1:106">
      <c r="A16">
        <f>ROW(Source!A30)</f>
        <v>30</v>
      </c>
      <c r="B16">
        <v>48370320</v>
      </c>
      <c r="C16">
        <v>48370433</v>
      </c>
      <c r="D16">
        <v>37736612</v>
      </c>
      <c r="E16">
        <v>1</v>
      </c>
      <c r="F16">
        <v>1</v>
      </c>
      <c r="G16">
        <v>1</v>
      </c>
      <c r="H16">
        <v>3</v>
      </c>
      <c r="I16" t="s">
        <v>533</v>
      </c>
      <c r="J16" t="s">
        <v>534</v>
      </c>
      <c r="K16" t="s">
        <v>535</v>
      </c>
      <c r="L16">
        <v>1348</v>
      </c>
      <c r="N16">
        <v>1009</v>
      </c>
      <c r="O16" t="s">
        <v>536</v>
      </c>
      <c r="P16" t="s">
        <v>536</v>
      </c>
      <c r="Q16">
        <v>1000</v>
      </c>
      <c r="W16">
        <v>0</v>
      </c>
      <c r="X16">
        <v>950208609</v>
      </c>
      <c r="Y16">
        <v>8.9999999999999993E-3</v>
      </c>
      <c r="AA16">
        <v>48439.360000000001</v>
      </c>
      <c r="AB16">
        <v>0</v>
      </c>
      <c r="AC16">
        <v>0</v>
      </c>
      <c r="AD16">
        <v>0</v>
      </c>
      <c r="AE16">
        <v>9424</v>
      </c>
      <c r="AF16">
        <v>0</v>
      </c>
      <c r="AG16">
        <v>0</v>
      </c>
      <c r="AH16">
        <v>0</v>
      </c>
      <c r="AI16">
        <v>5.14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8.9999999999999993E-3</v>
      </c>
      <c r="AU16" t="s">
        <v>3</v>
      </c>
      <c r="AV16">
        <v>0</v>
      </c>
      <c r="AW16">
        <v>2</v>
      </c>
      <c r="AX16">
        <v>48370441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8.9999999999999992E-5</v>
      </c>
      <c r="CY16">
        <f>AA16</f>
        <v>48439.360000000001</v>
      </c>
      <c r="CZ16">
        <f>AE16</f>
        <v>9424</v>
      </c>
      <c r="DA16">
        <f>AI16</f>
        <v>5.14</v>
      </c>
      <c r="DB16">
        <v>0</v>
      </c>
    </row>
    <row r="17" spans="1:106">
      <c r="A17">
        <f>ROW(Source!A30)</f>
        <v>30</v>
      </c>
      <c r="B17">
        <v>48370320</v>
      </c>
      <c r="C17">
        <v>48370433</v>
      </c>
      <c r="D17">
        <v>37751313</v>
      </c>
      <c r="E17">
        <v>1</v>
      </c>
      <c r="F17">
        <v>1</v>
      </c>
      <c r="G17">
        <v>1</v>
      </c>
      <c r="H17">
        <v>3</v>
      </c>
      <c r="I17" t="s">
        <v>537</v>
      </c>
      <c r="J17" t="s">
        <v>538</v>
      </c>
      <c r="K17" t="s">
        <v>539</v>
      </c>
      <c r="L17">
        <v>1348</v>
      </c>
      <c r="N17">
        <v>1009</v>
      </c>
      <c r="O17" t="s">
        <v>536</v>
      </c>
      <c r="P17" t="s">
        <v>536</v>
      </c>
      <c r="Q17">
        <v>1000</v>
      </c>
      <c r="W17">
        <v>0</v>
      </c>
      <c r="X17">
        <v>1768766074</v>
      </c>
      <c r="Y17">
        <v>1.04</v>
      </c>
      <c r="AA17">
        <v>67218.559999999998</v>
      </c>
      <c r="AB17">
        <v>0</v>
      </c>
      <c r="AC17">
        <v>0</v>
      </c>
      <c r="AD17">
        <v>0</v>
      </c>
      <c r="AE17">
        <v>8128</v>
      </c>
      <c r="AF17">
        <v>0</v>
      </c>
      <c r="AG17">
        <v>0</v>
      </c>
      <c r="AH17">
        <v>0</v>
      </c>
      <c r="AI17">
        <v>8.27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1.04</v>
      </c>
      <c r="AU17" t="s">
        <v>3</v>
      </c>
      <c r="AV17">
        <v>0</v>
      </c>
      <c r="AW17">
        <v>2</v>
      </c>
      <c r="AX17">
        <v>48370442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1.0400000000000001E-2</v>
      </c>
      <c r="CY17">
        <f>AA17</f>
        <v>67218.559999999998</v>
      </c>
      <c r="CZ17">
        <f>AE17</f>
        <v>8128</v>
      </c>
      <c r="DA17">
        <f>AI17</f>
        <v>8.27</v>
      </c>
      <c r="DB17">
        <v>0</v>
      </c>
    </row>
    <row r="18" spans="1:106">
      <c r="A18">
        <f>ROW(Source!A30)</f>
        <v>30</v>
      </c>
      <c r="B18">
        <v>48370320</v>
      </c>
      <c r="C18">
        <v>48370433</v>
      </c>
      <c r="D18">
        <v>37768012</v>
      </c>
      <c r="E18">
        <v>1</v>
      </c>
      <c r="F18">
        <v>1</v>
      </c>
      <c r="G18">
        <v>1</v>
      </c>
      <c r="H18">
        <v>3</v>
      </c>
      <c r="I18" t="s">
        <v>540</v>
      </c>
      <c r="J18" t="s">
        <v>541</v>
      </c>
      <c r="K18" t="s">
        <v>542</v>
      </c>
      <c r="L18">
        <v>1339</v>
      </c>
      <c r="N18">
        <v>1007</v>
      </c>
      <c r="O18" t="s">
        <v>543</v>
      </c>
      <c r="P18" t="s">
        <v>543</v>
      </c>
      <c r="Q18">
        <v>1</v>
      </c>
      <c r="W18">
        <v>0</v>
      </c>
      <c r="X18">
        <v>-1940385917</v>
      </c>
      <c r="Y18">
        <v>0.54</v>
      </c>
      <c r="AA18">
        <v>2804.76</v>
      </c>
      <c r="AB18">
        <v>0</v>
      </c>
      <c r="AC18">
        <v>0</v>
      </c>
      <c r="AD18">
        <v>0</v>
      </c>
      <c r="AE18">
        <v>318</v>
      </c>
      <c r="AF18">
        <v>0</v>
      </c>
      <c r="AG18">
        <v>0</v>
      </c>
      <c r="AH18">
        <v>0</v>
      </c>
      <c r="AI18">
        <v>8.82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0.54</v>
      </c>
      <c r="AU18" t="s">
        <v>3</v>
      </c>
      <c r="AV18">
        <v>0</v>
      </c>
      <c r="AW18">
        <v>2</v>
      </c>
      <c r="AX18">
        <v>48370443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5.4000000000000003E-3</v>
      </c>
      <c r="CY18">
        <f>AA18</f>
        <v>2804.76</v>
      </c>
      <c r="CZ18">
        <f>AE18</f>
        <v>318</v>
      </c>
      <c r="DA18">
        <f>AI18</f>
        <v>8.82</v>
      </c>
      <c r="DB18">
        <v>0</v>
      </c>
    </row>
    <row r="19" spans="1:106">
      <c r="A19">
        <f>ROW(Source!A30)</f>
        <v>30</v>
      </c>
      <c r="B19">
        <v>48370320</v>
      </c>
      <c r="C19">
        <v>48370433</v>
      </c>
      <c r="D19">
        <v>37776723</v>
      </c>
      <c r="E19">
        <v>1</v>
      </c>
      <c r="F19">
        <v>1</v>
      </c>
      <c r="G19">
        <v>1</v>
      </c>
      <c r="H19">
        <v>3</v>
      </c>
      <c r="I19" t="s">
        <v>544</v>
      </c>
      <c r="J19" t="s">
        <v>545</v>
      </c>
      <c r="K19" t="s">
        <v>546</v>
      </c>
      <c r="L19">
        <v>1356</v>
      </c>
      <c r="N19">
        <v>1010</v>
      </c>
      <c r="O19" t="s">
        <v>547</v>
      </c>
      <c r="P19" t="s">
        <v>547</v>
      </c>
      <c r="Q19">
        <v>1000</v>
      </c>
      <c r="W19">
        <v>0</v>
      </c>
      <c r="X19">
        <v>-667780082</v>
      </c>
      <c r="Y19">
        <v>0.56999999999999995</v>
      </c>
      <c r="AA19">
        <v>9996.4599999999991</v>
      </c>
      <c r="AB19">
        <v>0</v>
      </c>
      <c r="AC19">
        <v>0</v>
      </c>
      <c r="AD19">
        <v>0</v>
      </c>
      <c r="AE19">
        <v>794</v>
      </c>
      <c r="AF19">
        <v>0</v>
      </c>
      <c r="AG19">
        <v>0</v>
      </c>
      <c r="AH19">
        <v>0</v>
      </c>
      <c r="AI19">
        <v>12.59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0.56999999999999995</v>
      </c>
      <c r="AU19" t="s">
        <v>3</v>
      </c>
      <c r="AV19">
        <v>0</v>
      </c>
      <c r="AW19">
        <v>2</v>
      </c>
      <c r="AX19">
        <v>48370444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5.6999999999999993E-3</v>
      </c>
      <c r="CY19">
        <f>AA19</f>
        <v>9996.4599999999991</v>
      </c>
      <c r="CZ19">
        <f>AE19</f>
        <v>794</v>
      </c>
      <c r="DA19">
        <f>AI19</f>
        <v>12.59</v>
      </c>
      <c r="DB19">
        <v>0</v>
      </c>
    </row>
    <row r="20" spans="1:106">
      <c r="A20">
        <f>ROW(Source!A31)</f>
        <v>31</v>
      </c>
      <c r="B20">
        <v>48370320</v>
      </c>
      <c r="C20">
        <v>48370448</v>
      </c>
      <c r="D20">
        <v>23130498</v>
      </c>
      <c r="E20">
        <v>1</v>
      </c>
      <c r="F20">
        <v>1</v>
      </c>
      <c r="G20">
        <v>1</v>
      </c>
      <c r="H20">
        <v>1</v>
      </c>
      <c r="I20" t="s">
        <v>548</v>
      </c>
      <c r="J20" t="s">
        <v>3</v>
      </c>
      <c r="K20" t="s">
        <v>549</v>
      </c>
      <c r="L20">
        <v>1369</v>
      </c>
      <c r="N20">
        <v>1013</v>
      </c>
      <c r="O20" t="s">
        <v>510</v>
      </c>
      <c r="P20" t="s">
        <v>510</v>
      </c>
      <c r="Q20">
        <v>1</v>
      </c>
      <c r="W20">
        <v>0</v>
      </c>
      <c r="X20">
        <v>-1343846476</v>
      </c>
      <c r="Y20">
        <v>74.3</v>
      </c>
      <c r="AA20">
        <v>0</v>
      </c>
      <c r="AB20">
        <v>0</v>
      </c>
      <c r="AC20">
        <v>0</v>
      </c>
      <c r="AD20">
        <v>7.36</v>
      </c>
      <c r="AE20">
        <v>0</v>
      </c>
      <c r="AF20">
        <v>0</v>
      </c>
      <c r="AG20">
        <v>0</v>
      </c>
      <c r="AH20">
        <v>7.36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74.3</v>
      </c>
      <c r="AU20" t="s">
        <v>3</v>
      </c>
      <c r="AV20">
        <v>1</v>
      </c>
      <c r="AW20">
        <v>2</v>
      </c>
      <c r="AX20">
        <v>48370449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11.39762</v>
      </c>
      <c r="CY20">
        <f>AD20</f>
        <v>7.36</v>
      </c>
      <c r="CZ20">
        <f>AH20</f>
        <v>7.36</v>
      </c>
      <c r="DA20">
        <f>AL20</f>
        <v>1</v>
      </c>
      <c r="DB20">
        <v>0</v>
      </c>
    </row>
    <row r="21" spans="1:106">
      <c r="A21">
        <f>ROW(Source!A31)</f>
        <v>31</v>
      </c>
      <c r="B21">
        <v>48370320</v>
      </c>
      <c r="C21">
        <v>48370448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24</v>
      </c>
      <c r="J21" t="s">
        <v>3</v>
      </c>
      <c r="K21" t="s">
        <v>511</v>
      </c>
      <c r="L21">
        <v>608254</v>
      </c>
      <c r="N21">
        <v>1013</v>
      </c>
      <c r="O21" t="s">
        <v>512</v>
      </c>
      <c r="P21" t="s">
        <v>512</v>
      </c>
      <c r="Q21">
        <v>1</v>
      </c>
      <c r="W21">
        <v>0</v>
      </c>
      <c r="X21">
        <v>-185737400</v>
      </c>
      <c r="Y21">
        <v>1.99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1.99</v>
      </c>
      <c r="AU21" t="s">
        <v>3</v>
      </c>
      <c r="AV21">
        <v>2</v>
      </c>
      <c r="AW21">
        <v>2</v>
      </c>
      <c r="AX21">
        <v>48370450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0.30526600000000004</v>
      </c>
      <c r="CY21">
        <f>AD21</f>
        <v>0</v>
      </c>
      <c r="CZ21">
        <f>AH21</f>
        <v>0</v>
      </c>
      <c r="DA21">
        <f>AL21</f>
        <v>1</v>
      </c>
      <c r="DB21">
        <v>0</v>
      </c>
    </row>
    <row r="22" spans="1:106">
      <c r="A22">
        <f>ROW(Source!A31)</f>
        <v>31</v>
      </c>
      <c r="B22">
        <v>48370320</v>
      </c>
      <c r="C22">
        <v>48370448</v>
      </c>
      <c r="D22">
        <v>37802578</v>
      </c>
      <c r="E22">
        <v>1</v>
      </c>
      <c r="F22">
        <v>1</v>
      </c>
      <c r="G22">
        <v>1</v>
      </c>
      <c r="H22">
        <v>2</v>
      </c>
      <c r="I22" t="s">
        <v>550</v>
      </c>
      <c r="J22" t="s">
        <v>551</v>
      </c>
      <c r="K22" t="s">
        <v>552</v>
      </c>
      <c r="L22">
        <v>1368</v>
      </c>
      <c r="N22">
        <v>1011</v>
      </c>
      <c r="O22" t="s">
        <v>516</v>
      </c>
      <c r="P22" t="s">
        <v>516</v>
      </c>
      <c r="Q22">
        <v>1</v>
      </c>
      <c r="W22">
        <v>0</v>
      </c>
      <c r="X22">
        <v>1753337916</v>
      </c>
      <c r="Y22">
        <v>0.35</v>
      </c>
      <c r="AA22">
        <v>0</v>
      </c>
      <c r="AB22">
        <v>327.64</v>
      </c>
      <c r="AC22">
        <v>252.65</v>
      </c>
      <c r="AD22">
        <v>0</v>
      </c>
      <c r="AE22">
        <v>0</v>
      </c>
      <c r="AF22">
        <v>32.090000000000003</v>
      </c>
      <c r="AG22">
        <v>12.1</v>
      </c>
      <c r="AH22">
        <v>0</v>
      </c>
      <c r="AI22">
        <v>1</v>
      </c>
      <c r="AJ22">
        <v>10.210000000000001</v>
      </c>
      <c r="AK22">
        <v>20.88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0.35</v>
      </c>
      <c r="AU22" t="s">
        <v>3</v>
      </c>
      <c r="AV22">
        <v>0</v>
      </c>
      <c r="AW22">
        <v>2</v>
      </c>
      <c r="AX22">
        <v>48370451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5.3690000000000002E-2</v>
      </c>
      <c r="CY22">
        <f>AB22</f>
        <v>327.64</v>
      </c>
      <c r="CZ22">
        <f>AF22</f>
        <v>32.090000000000003</v>
      </c>
      <c r="DA22">
        <f>AJ22</f>
        <v>10.210000000000001</v>
      </c>
      <c r="DB22">
        <v>0</v>
      </c>
    </row>
    <row r="23" spans="1:106">
      <c r="A23">
        <f>ROW(Source!A31)</f>
        <v>31</v>
      </c>
      <c r="B23">
        <v>48370320</v>
      </c>
      <c r="C23">
        <v>48370448</v>
      </c>
      <c r="D23">
        <v>37802699</v>
      </c>
      <c r="E23">
        <v>1</v>
      </c>
      <c r="F23">
        <v>1</v>
      </c>
      <c r="G23">
        <v>1</v>
      </c>
      <c r="H23">
        <v>2</v>
      </c>
      <c r="I23" t="s">
        <v>513</v>
      </c>
      <c r="J23" t="s">
        <v>514</v>
      </c>
      <c r="K23" t="s">
        <v>515</v>
      </c>
      <c r="L23">
        <v>1368</v>
      </c>
      <c r="N23">
        <v>1011</v>
      </c>
      <c r="O23" t="s">
        <v>516</v>
      </c>
      <c r="P23" t="s">
        <v>516</v>
      </c>
      <c r="Q23">
        <v>1</v>
      </c>
      <c r="W23">
        <v>0</v>
      </c>
      <c r="X23">
        <v>2133576372</v>
      </c>
      <c r="Y23">
        <v>1.64</v>
      </c>
      <c r="AA23">
        <v>0</v>
      </c>
      <c r="AB23">
        <v>591.41999999999996</v>
      </c>
      <c r="AC23">
        <v>187.92</v>
      </c>
      <c r="AD23">
        <v>0</v>
      </c>
      <c r="AE23">
        <v>0</v>
      </c>
      <c r="AF23">
        <v>59.38</v>
      </c>
      <c r="AG23">
        <v>9</v>
      </c>
      <c r="AH23">
        <v>0</v>
      </c>
      <c r="AI23">
        <v>1</v>
      </c>
      <c r="AJ23">
        <v>9.9600000000000009</v>
      </c>
      <c r="AK23">
        <v>20.88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1.64</v>
      </c>
      <c r="AU23" t="s">
        <v>3</v>
      </c>
      <c r="AV23">
        <v>0</v>
      </c>
      <c r="AW23">
        <v>2</v>
      </c>
      <c r="AX23">
        <v>48370452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Y23*Source!I31</f>
        <v>0.25157600000000002</v>
      </c>
      <c r="CY23">
        <f>AB23</f>
        <v>591.41999999999996</v>
      </c>
      <c r="CZ23">
        <f>AF23</f>
        <v>59.38</v>
      </c>
      <c r="DA23">
        <f>AJ23</f>
        <v>9.9600000000000009</v>
      </c>
      <c r="DB23">
        <v>0</v>
      </c>
    </row>
    <row r="24" spans="1:106">
      <c r="A24">
        <f>ROW(Source!A31)</f>
        <v>31</v>
      </c>
      <c r="B24">
        <v>48370320</v>
      </c>
      <c r="C24">
        <v>48370448</v>
      </c>
      <c r="D24">
        <v>37804095</v>
      </c>
      <c r="E24">
        <v>1</v>
      </c>
      <c r="F24">
        <v>1</v>
      </c>
      <c r="G24">
        <v>1</v>
      </c>
      <c r="H24">
        <v>2</v>
      </c>
      <c r="I24" t="s">
        <v>517</v>
      </c>
      <c r="J24" t="s">
        <v>518</v>
      </c>
      <c r="K24" t="s">
        <v>519</v>
      </c>
      <c r="L24">
        <v>1368</v>
      </c>
      <c r="N24">
        <v>1011</v>
      </c>
      <c r="O24" t="s">
        <v>516</v>
      </c>
      <c r="P24" t="s">
        <v>516</v>
      </c>
      <c r="Q24">
        <v>1</v>
      </c>
      <c r="W24">
        <v>0</v>
      </c>
      <c r="X24">
        <v>1159152410</v>
      </c>
      <c r="Y24">
        <v>3.28</v>
      </c>
      <c r="AA24">
        <v>0</v>
      </c>
      <c r="AB24">
        <v>5.53</v>
      </c>
      <c r="AC24">
        <v>0</v>
      </c>
      <c r="AD24">
        <v>0</v>
      </c>
      <c r="AE24">
        <v>0</v>
      </c>
      <c r="AF24">
        <v>1.69</v>
      </c>
      <c r="AG24">
        <v>0</v>
      </c>
      <c r="AH24">
        <v>0</v>
      </c>
      <c r="AI24">
        <v>1</v>
      </c>
      <c r="AJ24">
        <v>3.27</v>
      </c>
      <c r="AK24">
        <v>20.88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3.28</v>
      </c>
      <c r="AU24" t="s">
        <v>3</v>
      </c>
      <c r="AV24">
        <v>0</v>
      </c>
      <c r="AW24">
        <v>2</v>
      </c>
      <c r="AX24">
        <v>48370453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Y24*Source!I31</f>
        <v>0.50315200000000004</v>
      </c>
      <c r="CY24">
        <f>AB24</f>
        <v>5.53</v>
      </c>
      <c r="CZ24">
        <f>AF24</f>
        <v>1.69</v>
      </c>
      <c r="DA24">
        <f>AJ24</f>
        <v>3.27</v>
      </c>
      <c r="DB24">
        <v>0</v>
      </c>
    </row>
    <row r="25" spans="1:106">
      <c r="A25">
        <f>ROW(Source!A32)</f>
        <v>32</v>
      </c>
      <c r="B25">
        <v>48370320</v>
      </c>
      <c r="C25">
        <v>48370460</v>
      </c>
      <c r="D25">
        <v>23129805</v>
      </c>
      <c r="E25">
        <v>1</v>
      </c>
      <c r="F25">
        <v>1</v>
      </c>
      <c r="G25">
        <v>1</v>
      </c>
      <c r="H25">
        <v>1</v>
      </c>
      <c r="I25" t="s">
        <v>553</v>
      </c>
      <c r="J25" t="s">
        <v>3</v>
      </c>
      <c r="K25" t="s">
        <v>554</v>
      </c>
      <c r="L25">
        <v>1369</v>
      </c>
      <c r="N25">
        <v>1013</v>
      </c>
      <c r="O25" t="s">
        <v>510</v>
      </c>
      <c r="P25" t="s">
        <v>510</v>
      </c>
      <c r="Q25">
        <v>1</v>
      </c>
      <c r="W25">
        <v>0</v>
      </c>
      <c r="X25">
        <v>756115135</v>
      </c>
      <c r="Y25">
        <v>69.87</v>
      </c>
      <c r="AA25">
        <v>0</v>
      </c>
      <c r="AB25">
        <v>0</v>
      </c>
      <c r="AC25">
        <v>0</v>
      </c>
      <c r="AD25">
        <v>7.97</v>
      </c>
      <c r="AE25">
        <v>0</v>
      </c>
      <c r="AF25">
        <v>0</v>
      </c>
      <c r="AG25">
        <v>0</v>
      </c>
      <c r="AH25">
        <v>7.97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69.87</v>
      </c>
      <c r="AU25" t="s">
        <v>3</v>
      </c>
      <c r="AV25">
        <v>1</v>
      </c>
      <c r="AW25">
        <v>2</v>
      </c>
      <c r="AX25">
        <v>48370461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2.7249300000000001</v>
      </c>
      <c r="CY25">
        <f>AD25</f>
        <v>7.97</v>
      </c>
      <c r="CZ25">
        <f>AH25</f>
        <v>7.97</v>
      </c>
      <c r="DA25">
        <f>AL25</f>
        <v>1</v>
      </c>
      <c r="DB25">
        <v>0</v>
      </c>
    </row>
    <row r="26" spans="1:106">
      <c r="A26">
        <f>ROW(Source!A32)</f>
        <v>32</v>
      </c>
      <c r="B26">
        <v>48370320</v>
      </c>
      <c r="C26">
        <v>48370460</v>
      </c>
      <c r="D26">
        <v>121548</v>
      </c>
      <c r="E26">
        <v>1</v>
      </c>
      <c r="F26">
        <v>1</v>
      </c>
      <c r="G26">
        <v>1</v>
      </c>
      <c r="H26">
        <v>1</v>
      </c>
      <c r="I26" t="s">
        <v>24</v>
      </c>
      <c r="J26" t="s">
        <v>3</v>
      </c>
      <c r="K26" t="s">
        <v>511</v>
      </c>
      <c r="L26">
        <v>608254</v>
      </c>
      <c r="N26">
        <v>1013</v>
      </c>
      <c r="O26" t="s">
        <v>512</v>
      </c>
      <c r="P26" t="s">
        <v>512</v>
      </c>
      <c r="Q26">
        <v>1</v>
      </c>
      <c r="W26">
        <v>0</v>
      </c>
      <c r="X26">
        <v>-185737400</v>
      </c>
      <c r="Y26">
        <v>1.44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1.44</v>
      </c>
      <c r="AU26" t="s">
        <v>3</v>
      </c>
      <c r="AV26">
        <v>2</v>
      </c>
      <c r="AW26">
        <v>2</v>
      </c>
      <c r="AX26">
        <v>48370462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5.6159999999999995E-2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>
      <c r="A27">
        <f>ROW(Source!A32)</f>
        <v>32</v>
      </c>
      <c r="B27">
        <v>48370320</v>
      </c>
      <c r="C27">
        <v>48370460</v>
      </c>
      <c r="D27">
        <v>37802578</v>
      </c>
      <c r="E27">
        <v>1</v>
      </c>
      <c r="F27">
        <v>1</v>
      </c>
      <c r="G27">
        <v>1</v>
      </c>
      <c r="H27">
        <v>2</v>
      </c>
      <c r="I27" t="s">
        <v>550</v>
      </c>
      <c r="J27" t="s">
        <v>551</v>
      </c>
      <c r="K27" t="s">
        <v>552</v>
      </c>
      <c r="L27">
        <v>1368</v>
      </c>
      <c r="N27">
        <v>1011</v>
      </c>
      <c r="O27" t="s">
        <v>516</v>
      </c>
      <c r="P27" t="s">
        <v>516</v>
      </c>
      <c r="Q27">
        <v>1</v>
      </c>
      <c r="W27">
        <v>0</v>
      </c>
      <c r="X27">
        <v>1753337916</v>
      </c>
      <c r="Y27">
        <v>1.44</v>
      </c>
      <c r="AA27">
        <v>0</v>
      </c>
      <c r="AB27">
        <v>327.64</v>
      </c>
      <c r="AC27">
        <v>252.65</v>
      </c>
      <c r="AD27">
        <v>0</v>
      </c>
      <c r="AE27">
        <v>0</v>
      </c>
      <c r="AF27">
        <v>32.090000000000003</v>
      </c>
      <c r="AG27">
        <v>12.1</v>
      </c>
      <c r="AH27">
        <v>0</v>
      </c>
      <c r="AI27">
        <v>1</v>
      </c>
      <c r="AJ27">
        <v>10.210000000000001</v>
      </c>
      <c r="AK27">
        <v>20.88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1.44</v>
      </c>
      <c r="AU27" t="s">
        <v>3</v>
      </c>
      <c r="AV27">
        <v>0</v>
      </c>
      <c r="AW27">
        <v>2</v>
      </c>
      <c r="AX27">
        <v>48370463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5.6159999999999995E-2</v>
      </c>
      <c r="CY27">
        <f>AB27</f>
        <v>327.64</v>
      </c>
      <c r="CZ27">
        <f>AF27</f>
        <v>32.090000000000003</v>
      </c>
      <c r="DA27">
        <f>AJ27</f>
        <v>10.210000000000001</v>
      </c>
      <c r="DB27">
        <v>0</v>
      </c>
    </row>
    <row r="28" spans="1:106">
      <c r="A28">
        <f>ROW(Source!A32)</f>
        <v>32</v>
      </c>
      <c r="B28">
        <v>48370320</v>
      </c>
      <c r="C28">
        <v>48370460</v>
      </c>
      <c r="D28">
        <v>37792787</v>
      </c>
      <c r="E28">
        <v>1</v>
      </c>
      <c r="F28">
        <v>1</v>
      </c>
      <c r="G28">
        <v>1</v>
      </c>
      <c r="H28">
        <v>3</v>
      </c>
      <c r="I28" t="s">
        <v>555</v>
      </c>
      <c r="J28" t="s">
        <v>556</v>
      </c>
      <c r="K28" t="s">
        <v>557</v>
      </c>
      <c r="L28">
        <v>1348</v>
      </c>
      <c r="N28">
        <v>1009</v>
      </c>
      <c r="O28" t="s">
        <v>536</v>
      </c>
      <c r="P28" t="s">
        <v>536</v>
      </c>
      <c r="Q28">
        <v>1000</v>
      </c>
      <c r="W28">
        <v>0</v>
      </c>
      <c r="X28">
        <v>-150994421</v>
      </c>
      <c r="Y28">
        <v>5.2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3</v>
      </c>
      <c r="AT28">
        <v>5.2</v>
      </c>
      <c r="AU28" t="s">
        <v>3</v>
      </c>
      <c r="AV28">
        <v>0</v>
      </c>
      <c r="AW28">
        <v>2</v>
      </c>
      <c r="AX28">
        <v>48370464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Y28*Source!I32</f>
        <v>0.20280000000000001</v>
      </c>
      <c r="CY28">
        <f>AA28</f>
        <v>0</v>
      </c>
      <c r="CZ28">
        <f>AE28</f>
        <v>0</v>
      </c>
      <c r="DA28">
        <f>AI28</f>
        <v>1</v>
      </c>
      <c r="DB28">
        <v>0</v>
      </c>
    </row>
    <row r="29" spans="1:106">
      <c r="A29">
        <f>ROW(Source!A33)</f>
        <v>33</v>
      </c>
      <c r="B29">
        <v>48370320</v>
      </c>
      <c r="C29">
        <v>48370470</v>
      </c>
      <c r="D29">
        <v>23132616</v>
      </c>
      <c r="E29">
        <v>1</v>
      </c>
      <c r="F29">
        <v>1</v>
      </c>
      <c r="G29">
        <v>1</v>
      </c>
      <c r="H29">
        <v>1</v>
      </c>
      <c r="I29" t="s">
        <v>558</v>
      </c>
      <c r="J29" t="s">
        <v>3</v>
      </c>
      <c r="K29" t="s">
        <v>559</v>
      </c>
      <c r="L29">
        <v>1369</v>
      </c>
      <c r="N29">
        <v>1013</v>
      </c>
      <c r="O29" t="s">
        <v>510</v>
      </c>
      <c r="P29" t="s">
        <v>510</v>
      </c>
      <c r="Q29">
        <v>1</v>
      </c>
      <c r="W29">
        <v>0</v>
      </c>
      <c r="X29">
        <v>771296312</v>
      </c>
      <c r="Y29">
        <v>103.91</v>
      </c>
      <c r="AA29">
        <v>0</v>
      </c>
      <c r="AB29">
        <v>0</v>
      </c>
      <c r="AC29">
        <v>0</v>
      </c>
      <c r="AD29">
        <v>7.56</v>
      </c>
      <c r="AE29">
        <v>0</v>
      </c>
      <c r="AF29">
        <v>0</v>
      </c>
      <c r="AG29">
        <v>0</v>
      </c>
      <c r="AH29">
        <v>7.56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103.91</v>
      </c>
      <c r="AU29" t="s">
        <v>3</v>
      </c>
      <c r="AV29">
        <v>1</v>
      </c>
      <c r="AW29">
        <v>2</v>
      </c>
      <c r="AX29">
        <v>48370471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3.0549539999999999</v>
      </c>
      <c r="CY29">
        <f>AD29</f>
        <v>7.56</v>
      </c>
      <c r="CZ29">
        <f>AH29</f>
        <v>7.56</v>
      </c>
      <c r="DA29">
        <f>AL29</f>
        <v>1</v>
      </c>
      <c r="DB29">
        <v>0</v>
      </c>
    </row>
    <row r="30" spans="1:106">
      <c r="A30">
        <f>ROW(Source!A33)</f>
        <v>33</v>
      </c>
      <c r="B30">
        <v>48370320</v>
      </c>
      <c r="C30">
        <v>48370470</v>
      </c>
      <c r="D30">
        <v>121548</v>
      </c>
      <c r="E30">
        <v>1</v>
      </c>
      <c r="F30">
        <v>1</v>
      </c>
      <c r="G30">
        <v>1</v>
      </c>
      <c r="H30">
        <v>1</v>
      </c>
      <c r="I30" t="s">
        <v>24</v>
      </c>
      <c r="J30" t="s">
        <v>3</v>
      </c>
      <c r="K30" t="s">
        <v>511</v>
      </c>
      <c r="L30">
        <v>608254</v>
      </c>
      <c r="N30">
        <v>1013</v>
      </c>
      <c r="O30" t="s">
        <v>512</v>
      </c>
      <c r="P30" t="s">
        <v>512</v>
      </c>
      <c r="Q30">
        <v>1</v>
      </c>
      <c r="W30">
        <v>0</v>
      </c>
      <c r="X30">
        <v>-185737400</v>
      </c>
      <c r="Y30">
        <v>7.74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7.74</v>
      </c>
      <c r="AU30" t="s">
        <v>3</v>
      </c>
      <c r="AV30">
        <v>2</v>
      </c>
      <c r="AW30">
        <v>2</v>
      </c>
      <c r="AX30">
        <v>48370472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0.22755600000000001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>
      <c r="A31">
        <f>ROW(Source!A33)</f>
        <v>33</v>
      </c>
      <c r="B31">
        <v>48370320</v>
      </c>
      <c r="C31">
        <v>48370470</v>
      </c>
      <c r="D31">
        <v>37802578</v>
      </c>
      <c r="E31">
        <v>1</v>
      </c>
      <c r="F31">
        <v>1</v>
      </c>
      <c r="G31">
        <v>1</v>
      </c>
      <c r="H31">
        <v>2</v>
      </c>
      <c r="I31" t="s">
        <v>550</v>
      </c>
      <c r="J31" t="s">
        <v>551</v>
      </c>
      <c r="K31" t="s">
        <v>552</v>
      </c>
      <c r="L31">
        <v>1368</v>
      </c>
      <c r="N31">
        <v>1011</v>
      </c>
      <c r="O31" t="s">
        <v>516</v>
      </c>
      <c r="P31" t="s">
        <v>516</v>
      </c>
      <c r="Q31">
        <v>1</v>
      </c>
      <c r="W31">
        <v>0</v>
      </c>
      <c r="X31">
        <v>1753337916</v>
      </c>
      <c r="Y31">
        <v>7.74</v>
      </c>
      <c r="AA31">
        <v>0</v>
      </c>
      <c r="AB31">
        <v>327.64</v>
      </c>
      <c r="AC31">
        <v>252.65</v>
      </c>
      <c r="AD31">
        <v>0</v>
      </c>
      <c r="AE31">
        <v>0</v>
      </c>
      <c r="AF31">
        <v>32.090000000000003</v>
      </c>
      <c r="AG31">
        <v>12.1</v>
      </c>
      <c r="AH31">
        <v>0</v>
      </c>
      <c r="AI31">
        <v>1</v>
      </c>
      <c r="AJ31">
        <v>10.210000000000001</v>
      </c>
      <c r="AK31">
        <v>20.88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7.74</v>
      </c>
      <c r="AU31" t="s">
        <v>3</v>
      </c>
      <c r="AV31">
        <v>0</v>
      </c>
      <c r="AW31">
        <v>2</v>
      </c>
      <c r="AX31">
        <v>48370473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0.22755600000000001</v>
      </c>
      <c r="CY31">
        <f>AB31</f>
        <v>327.64</v>
      </c>
      <c r="CZ31">
        <f>AF31</f>
        <v>32.090000000000003</v>
      </c>
      <c r="DA31">
        <f>AJ31</f>
        <v>10.210000000000001</v>
      </c>
      <c r="DB31">
        <v>0</v>
      </c>
    </row>
    <row r="32" spans="1:106">
      <c r="A32">
        <f>ROW(Source!A34)</f>
        <v>34</v>
      </c>
      <c r="B32">
        <v>48370320</v>
      </c>
      <c r="C32">
        <v>48370480</v>
      </c>
      <c r="D32">
        <v>23129555</v>
      </c>
      <c r="E32">
        <v>1</v>
      </c>
      <c r="F32">
        <v>1</v>
      </c>
      <c r="G32">
        <v>1</v>
      </c>
      <c r="H32">
        <v>1</v>
      </c>
      <c r="I32" t="s">
        <v>560</v>
      </c>
      <c r="J32" t="s">
        <v>3</v>
      </c>
      <c r="K32" t="s">
        <v>561</v>
      </c>
      <c r="L32">
        <v>1369</v>
      </c>
      <c r="N32">
        <v>1013</v>
      </c>
      <c r="O32" t="s">
        <v>510</v>
      </c>
      <c r="P32" t="s">
        <v>510</v>
      </c>
      <c r="Q32">
        <v>1</v>
      </c>
      <c r="W32">
        <v>0</v>
      </c>
      <c r="X32">
        <v>1250814213</v>
      </c>
      <c r="Y32">
        <v>22.82</v>
      </c>
      <c r="AA32">
        <v>0</v>
      </c>
      <c r="AB32">
        <v>0</v>
      </c>
      <c r="AC32">
        <v>0</v>
      </c>
      <c r="AD32">
        <v>7.29</v>
      </c>
      <c r="AE32">
        <v>0</v>
      </c>
      <c r="AF32">
        <v>0</v>
      </c>
      <c r="AG32">
        <v>0</v>
      </c>
      <c r="AH32">
        <v>7.29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22.82</v>
      </c>
      <c r="AU32" t="s">
        <v>3</v>
      </c>
      <c r="AV32">
        <v>1</v>
      </c>
      <c r="AW32">
        <v>2</v>
      </c>
      <c r="AX32">
        <v>48370481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4.7670979999999998</v>
      </c>
      <c r="CY32">
        <f>AD32</f>
        <v>7.29</v>
      </c>
      <c r="CZ32">
        <f>AH32</f>
        <v>7.29</v>
      </c>
      <c r="DA32">
        <f>AL32</f>
        <v>1</v>
      </c>
      <c r="DB32">
        <v>0</v>
      </c>
    </row>
    <row r="33" spans="1:106">
      <c r="A33">
        <f>ROW(Source!A35)</f>
        <v>35</v>
      </c>
      <c r="B33">
        <v>48370320</v>
      </c>
      <c r="C33">
        <v>48370484</v>
      </c>
      <c r="D33">
        <v>23131038</v>
      </c>
      <c r="E33">
        <v>1</v>
      </c>
      <c r="F33">
        <v>1</v>
      </c>
      <c r="G33">
        <v>1</v>
      </c>
      <c r="H33">
        <v>1</v>
      </c>
      <c r="I33" t="s">
        <v>562</v>
      </c>
      <c r="J33" t="s">
        <v>3</v>
      </c>
      <c r="K33" t="s">
        <v>563</v>
      </c>
      <c r="L33">
        <v>1369</v>
      </c>
      <c r="N33">
        <v>1013</v>
      </c>
      <c r="O33" t="s">
        <v>510</v>
      </c>
      <c r="P33" t="s">
        <v>510</v>
      </c>
      <c r="Q33">
        <v>1</v>
      </c>
      <c r="W33">
        <v>0</v>
      </c>
      <c r="X33">
        <v>-1903398286</v>
      </c>
      <c r="Y33">
        <v>17.89</v>
      </c>
      <c r="AA33">
        <v>0</v>
      </c>
      <c r="AB33">
        <v>0</v>
      </c>
      <c r="AC33">
        <v>0</v>
      </c>
      <c r="AD33">
        <v>7.49</v>
      </c>
      <c r="AE33">
        <v>0</v>
      </c>
      <c r="AF33">
        <v>0</v>
      </c>
      <c r="AG33">
        <v>0</v>
      </c>
      <c r="AH33">
        <v>7.49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17.89</v>
      </c>
      <c r="AU33" t="s">
        <v>3</v>
      </c>
      <c r="AV33">
        <v>1</v>
      </c>
      <c r="AW33">
        <v>2</v>
      </c>
      <c r="AX33">
        <v>48370485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Y33*Source!I35</f>
        <v>0.35780000000000001</v>
      </c>
      <c r="CY33">
        <f>AD33</f>
        <v>7.49</v>
      </c>
      <c r="CZ33">
        <f>AH33</f>
        <v>7.49</v>
      </c>
      <c r="DA33">
        <f>AL33</f>
        <v>1</v>
      </c>
      <c r="DB33">
        <v>0</v>
      </c>
    </row>
    <row r="34" spans="1:106">
      <c r="A34">
        <f>ROW(Source!A35)</f>
        <v>35</v>
      </c>
      <c r="B34">
        <v>48370320</v>
      </c>
      <c r="C34">
        <v>48370484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24</v>
      </c>
      <c r="J34" t="s">
        <v>3</v>
      </c>
      <c r="K34" t="s">
        <v>511</v>
      </c>
      <c r="L34">
        <v>608254</v>
      </c>
      <c r="N34">
        <v>1013</v>
      </c>
      <c r="O34" t="s">
        <v>512</v>
      </c>
      <c r="P34" t="s">
        <v>512</v>
      </c>
      <c r="Q34">
        <v>1</v>
      </c>
      <c r="W34">
        <v>0</v>
      </c>
      <c r="X34">
        <v>-185737400</v>
      </c>
      <c r="Y34">
        <v>0.08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0.08</v>
      </c>
      <c r="AU34" t="s">
        <v>3</v>
      </c>
      <c r="AV34">
        <v>2</v>
      </c>
      <c r="AW34">
        <v>2</v>
      </c>
      <c r="AX34">
        <v>48370486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Y34*Source!I35</f>
        <v>1.6000000000000001E-3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>
      <c r="A35">
        <f>ROW(Source!A35)</f>
        <v>35</v>
      </c>
      <c r="B35">
        <v>48370320</v>
      </c>
      <c r="C35">
        <v>48370484</v>
      </c>
      <c r="D35">
        <v>37802578</v>
      </c>
      <c r="E35">
        <v>1</v>
      </c>
      <c r="F35">
        <v>1</v>
      </c>
      <c r="G35">
        <v>1</v>
      </c>
      <c r="H35">
        <v>2</v>
      </c>
      <c r="I35" t="s">
        <v>550</v>
      </c>
      <c r="J35" t="s">
        <v>551</v>
      </c>
      <c r="K35" t="s">
        <v>552</v>
      </c>
      <c r="L35">
        <v>1368</v>
      </c>
      <c r="N35">
        <v>1011</v>
      </c>
      <c r="O35" t="s">
        <v>516</v>
      </c>
      <c r="P35" t="s">
        <v>516</v>
      </c>
      <c r="Q35">
        <v>1</v>
      </c>
      <c r="W35">
        <v>0</v>
      </c>
      <c r="X35">
        <v>1753337916</v>
      </c>
      <c r="Y35">
        <v>0.08</v>
      </c>
      <c r="AA35">
        <v>0</v>
      </c>
      <c r="AB35">
        <v>327.64</v>
      </c>
      <c r="AC35">
        <v>252.65</v>
      </c>
      <c r="AD35">
        <v>0</v>
      </c>
      <c r="AE35">
        <v>0</v>
      </c>
      <c r="AF35">
        <v>32.090000000000003</v>
      </c>
      <c r="AG35">
        <v>12.1</v>
      </c>
      <c r="AH35">
        <v>0</v>
      </c>
      <c r="AI35">
        <v>1</v>
      </c>
      <c r="AJ35">
        <v>10.210000000000001</v>
      </c>
      <c r="AK35">
        <v>20.88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0.08</v>
      </c>
      <c r="AU35" t="s">
        <v>3</v>
      </c>
      <c r="AV35">
        <v>0</v>
      </c>
      <c r="AW35">
        <v>2</v>
      </c>
      <c r="AX35">
        <v>48370487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Y35*Source!I35</f>
        <v>1.6000000000000001E-3</v>
      </c>
      <c r="CY35">
        <f>AB35</f>
        <v>327.64</v>
      </c>
      <c r="CZ35">
        <f>AF35</f>
        <v>32.090000000000003</v>
      </c>
      <c r="DA35">
        <f>AJ35</f>
        <v>10.210000000000001</v>
      </c>
      <c r="DB35">
        <v>0</v>
      </c>
    </row>
    <row r="36" spans="1:106">
      <c r="A36">
        <f>ROW(Source!A36)</f>
        <v>36</v>
      </c>
      <c r="B36">
        <v>48370320</v>
      </c>
      <c r="C36">
        <v>48370491</v>
      </c>
      <c r="D36">
        <v>23129805</v>
      </c>
      <c r="E36">
        <v>1</v>
      </c>
      <c r="F36">
        <v>1</v>
      </c>
      <c r="G36">
        <v>1</v>
      </c>
      <c r="H36">
        <v>1</v>
      </c>
      <c r="I36" t="s">
        <v>553</v>
      </c>
      <c r="J36" t="s">
        <v>3</v>
      </c>
      <c r="K36" t="s">
        <v>554</v>
      </c>
      <c r="L36">
        <v>1369</v>
      </c>
      <c r="N36">
        <v>1013</v>
      </c>
      <c r="O36" t="s">
        <v>510</v>
      </c>
      <c r="P36" t="s">
        <v>510</v>
      </c>
      <c r="Q36">
        <v>1</v>
      </c>
      <c r="W36">
        <v>0</v>
      </c>
      <c r="X36">
        <v>756115135</v>
      </c>
      <c r="Y36">
        <v>63.84</v>
      </c>
      <c r="AA36">
        <v>0</v>
      </c>
      <c r="AB36">
        <v>0</v>
      </c>
      <c r="AC36">
        <v>0</v>
      </c>
      <c r="AD36">
        <v>7.97</v>
      </c>
      <c r="AE36">
        <v>0</v>
      </c>
      <c r="AF36">
        <v>0</v>
      </c>
      <c r="AG36">
        <v>0</v>
      </c>
      <c r="AH36">
        <v>7.97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63.84</v>
      </c>
      <c r="AU36" t="s">
        <v>3</v>
      </c>
      <c r="AV36">
        <v>1</v>
      </c>
      <c r="AW36">
        <v>2</v>
      </c>
      <c r="AX36">
        <v>48370492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Y36*Source!I36</f>
        <v>0.63840000000000008</v>
      </c>
      <c r="CY36">
        <f>AD36</f>
        <v>7.97</v>
      </c>
      <c r="CZ36">
        <f>AH36</f>
        <v>7.97</v>
      </c>
      <c r="DA36">
        <f>AL36</f>
        <v>1</v>
      </c>
      <c r="DB36">
        <v>0</v>
      </c>
    </row>
    <row r="37" spans="1:106">
      <c r="A37">
        <f>ROW(Source!A36)</f>
        <v>36</v>
      </c>
      <c r="B37">
        <v>48370320</v>
      </c>
      <c r="C37">
        <v>48370491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24</v>
      </c>
      <c r="J37" t="s">
        <v>3</v>
      </c>
      <c r="K37" t="s">
        <v>511</v>
      </c>
      <c r="L37">
        <v>608254</v>
      </c>
      <c r="N37">
        <v>1013</v>
      </c>
      <c r="O37" t="s">
        <v>512</v>
      </c>
      <c r="P37" t="s">
        <v>512</v>
      </c>
      <c r="Q37">
        <v>1</v>
      </c>
      <c r="W37">
        <v>0</v>
      </c>
      <c r="X37">
        <v>-185737400</v>
      </c>
      <c r="Y37">
        <v>0.28999999999999998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0.28999999999999998</v>
      </c>
      <c r="AU37" t="s">
        <v>3</v>
      </c>
      <c r="AV37">
        <v>2</v>
      </c>
      <c r="AW37">
        <v>2</v>
      </c>
      <c r="AX37">
        <v>48370493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Y37*Source!I36</f>
        <v>2.8999999999999998E-3</v>
      </c>
      <c r="CY37">
        <f>AD37</f>
        <v>0</v>
      </c>
      <c r="CZ37">
        <f>AH37</f>
        <v>0</v>
      </c>
      <c r="DA37">
        <f>AL37</f>
        <v>1</v>
      </c>
      <c r="DB37">
        <v>0</v>
      </c>
    </row>
    <row r="38" spans="1:106">
      <c r="A38">
        <f>ROW(Source!A36)</f>
        <v>36</v>
      </c>
      <c r="B38">
        <v>48370320</v>
      </c>
      <c r="C38">
        <v>48370491</v>
      </c>
      <c r="D38">
        <v>37802578</v>
      </c>
      <c r="E38">
        <v>1</v>
      </c>
      <c r="F38">
        <v>1</v>
      </c>
      <c r="G38">
        <v>1</v>
      </c>
      <c r="H38">
        <v>2</v>
      </c>
      <c r="I38" t="s">
        <v>550</v>
      </c>
      <c r="J38" t="s">
        <v>551</v>
      </c>
      <c r="K38" t="s">
        <v>552</v>
      </c>
      <c r="L38">
        <v>1368</v>
      </c>
      <c r="N38">
        <v>1011</v>
      </c>
      <c r="O38" t="s">
        <v>516</v>
      </c>
      <c r="P38" t="s">
        <v>516</v>
      </c>
      <c r="Q38">
        <v>1</v>
      </c>
      <c r="W38">
        <v>0</v>
      </c>
      <c r="X38">
        <v>1753337916</v>
      </c>
      <c r="Y38">
        <v>0.28999999999999998</v>
      </c>
      <c r="AA38">
        <v>0</v>
      </c>
      <c r="AB38">
        <v>327.64</v>
      </c>
      <c r="AC38">
        <v>252.65</v>
      </c>
      <c r="AD38">
        <v>0</v>
      </c>
      <c r="AE38">
        <v>0</v>
      </c>
      <c r="AF38">
        <v>32.090000000000003</v>
      </c>
      <c r="AG38">
        <v>12.1</v>
      </c>
      <c r="AH38">
        <v>0</v>
      </c>
      <c r="AI38">
        <v>1</v>
      </c>
      <c r="AJ38">
        <v>10.210000000000001</v>
      </c>
      <c r="AK38">
        <v>20.88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0.28999999999999998</v>
      </c>
      <c r="AU38" t="s">
        <v>3</v>
      </c>
      <c r="AV38">
        <v>0</v>
      </c>
      <c r="AW38">
        <v>2</v>
      </c>
      <c r="AX38">
        <v>48370494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Y38*Source!I36</f>
        <v>2.8999999999999998E-3</v>
      </c>
      <c r="CY38">
        <f>AB38</f>
        <v>327.64</v>
      </c>
      <c r="CZ38">
        <f>AF38</f>
        <v>32.090000000000003</v>
      </c>
      <c r="DA38">
        <f>AJ38</f>
        <v>10.210000000000001</v>
      </c>
      <c r="DB38">
        <v>0</v>
      </c>
    </row>
    <row r="39" spans="1:106">
      <c r="A39">
        <f>ROW(Source!A36)</f>
        <v>36</v>
      </c>
      <c r="B39">
        <v>48370320</v>
      </c>
      <c r="C39">
        <v>48370491</v>
      </c>
      <c r="D39">
        <v>37792788</v>
      </c>
      <c r="E39">
        <v>1</v>
      </c>
      <c r="F39">
        <v>1</v>
      </c>
      <c r="G39">
        <v>1</v>
      </c>
      <c r="H39">
        <v>3</v>
      </c>
      <c r="I39" t="s">
        <v>564</v>
      </c>
      <c r="J39" t="s">
        <v>565</v>
      </c>
      <c r="K39" t="s">
        <v>566</v>
      </c>
      <c r="L39">
        <v>1348</v>
      </c>
      <c r="N39">
        <v>1009</v>
      </c>
      <c r="O39" t="s">
        <v>536</v>
      </c>
      <c r="P39" t="s">
        <v>536</v>
      </c>
      <c r="Q39">
        <v>1000</v>
      </c>
      <c r="W39">
        <v>0</v>
      </c>
      <c r="X39">
        <v>-856488199</v>
      </c>
      <c r="Y39">
        <v>2.65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 t="s">
        <v>3</v>
      </c>
      <c r="AT39">
        <v>2.65</v>
      </c>
      <c r="AU39" t="s">
        <v>3</v>
      </c>
      <c r="AV39">
        <v>0</v>
      </c>
      <c r="AW39">
        <v>2</v>
      </c>
      <c r="AX39">
        <v>48370495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Y39*Source!I36</f>
        <v>2.6499999999999999E-2</v>
      </c>
      <c r="CY39">
        <f>AA39</f>
        <v>0</v>
      </c>
      <c r="CZ39">
        <f>AE39</f>
        <v>0</v>
      </c>
      <c r="DA39">
        <f>AI39</f>
        <v>1</v>
      </c>
      <c r="DB39">
        <v>0</v>
      </c>
    </row>
    <row r="40" spans="1:106">
      <c r="A40">
        <f>ROW(Source!A37)</f>
        <v>37</v>
      </c>
      <c r="B40">
        <v>48370320</v>
      </c>
      <c r="C40">
        <v>48370596</v>
      </c>
      <c r="D40">
        <v>23129805</v>
      </c>
      <c r="E40">
        <v>1</v>
      </c>
      <c r="F40">
        <v>1</v>
      </c>
      <c r="G40">
        <v>1</v>
      </c>
      <c r="H40">
        <v>1</v>
      </c>
      <c r="I40" t="s">
        <v>553</v>
      </c>
      <c r="J40" t="s">
        <v>3</v>
      </c>
      <c r="K40" t="s">
        <v>554</v>
      </c>
      <c r="L40">
        <v>1369</v>
      </c>
      <c r="N40">
        <v>1013</v>
      </c>
      <c r="O40" t="s">
        <v>510</v>
      </c>
      <c r="P40" t="s">
        <v>510</v>
      </c>
      <c r="Q40">
        <v>1</v>
      </c>
      <c r="W40">
        <v>0</v>
      </c>
      <c r="X40">
        <v>756115135</v>
      </c>
      <c r="Y40">
        <v>51.3</v>
      </c>
      <c r="AA40">
        <v>0</v>
      </c>
      <c r="AB40">
        <v>0</v>
      </c>
      <c r="AC40">
        <v>0</v>
      </c>
      <c r="AD40">
        <v>7.97</v>
      </c>
      <c r="AE40">
        <v>0</v>
      </c>
      <c r="AF40">
        <v>0</v>
      </c>
      <c r="AG40">
        <v>0</v>
      </c>
      <c r="AH40">
        <v>7.97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51.3</v>
      </c>
      <c r="AU40" t="s">
        <v>3</v>
      </c>
      <c r="AV40">
        <v>1</v>
      </c>
      <c r="AW40">
        <v>2</v>
      </c>
      <c r="AX40">
        <v>48370597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Y40*Source!I37</f>
        <v>0.51300000000000001</v>
      </c>
      <c r="CY40">
        <f>AD40</f>
        <v>7.97</v>
      </c>
      <c r="CZ40">
        <f>AH40</f>
        <v>7.97</v>
      </c>
      <c r="DA40">
        <f>AL40</f>
        <v>1</v>
      </c>
      <c r="DB40">
        <v>0</v>
      </c>
    </row>
    <row r="41" spans="1:106">
      <c r="A41">
        <f>ROW(Source!A37)</f>
        <v>37</v>
      </c>
      <c r="B41">
        <v>48370320</v>
      </c>
      <c r="C41">
        <v>48370596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24</v>
      </c>
      <c r="J41" t="s">
        <v>3</v>
      </c>
      <c r="K41" t="s">
        <v>511</v>
      </c>
      <c r="L41">
        <v>608254</v>
      </c>
      <c r="N41">
        <v>1013</v>
      </c>
      <c r="O41" t="s">
        <v>512</v>
      </c>
      <c r="P41" t="s">
        <v>512</v>
      </c>
      <c r="Q41">
        <v>1</v>
      </c>
      <c r="W41">
        <v>0</v>
      </c>
      <c r="X41">
        <v>-185737400</v>
      </c>
      <c r="Y41">
        <v>0.26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0.26</v>
      </c>
      <c r="AU41" t="s">
        <v>3</v>
      </c>
      <c r="AV41">
        <v>2</v>
      </c>
      <c r="AW41">
        <v>2</v>
      </c>
      <c r="AX41">
        <v>48370598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Y41*Source!I37</f>
        <v>2.6000000000000003E-3</v>
      </c>
      <c r="CY41">
        <f>AD41</f>
        <v>0</v>
      </c>
      <c r="CZ41">
        <f>AH41</f>
        <v>0</v>
      </c>
      <c r="DA41">
        <f>AL41</f>
        <v>1</v>
      </c>
      <c r="DB41">
        <v>0</v>
      </c>
    </row>
    <row r="42" spans="1:106">
      <c r="A42">
        <f>ROW(Source!A37)</f>
        <v>37</v>
      </c>
      <c r="B42">
        <v>48370320</v>
      </c>
      <c r="C42">
        <v>48370596</v>
      </c>
      <c r="D42">
        <v>37802578</v>
      </c>
      <c r="E42">
        <v>1</v>
      </c>
      <c r="F42">
        <v>1</v>
      </c>
      <c r="G42">
        <v>1</v>
      </c>
      <c r="H42">
        <v>2</v>
      </c>
      <c r="I42" t="s">
        <v>550</v>
      </c>
      <c r="J42" t="s">
        <v>551</v>
      </c>
      <c r="K42" t="s">
        <v>552</v>
      </c>
      <c r="L42">
        <v>1368</v>
      </c>
      <c r="N42">
        <v>1011</v>
      </c>
      <c r="O42" t="s">
        <v>516</v>
      </c>
      <c r="P42" t="s">
        <v>516</v>
      </c>
      <c r="Q42">
        <v>1</v>
      </c>
      <c r="W42">
        <v>0</v>
      </c>
      <c r="X42">
        <v>1753337916</v>
      </c>
      <c r="Y42">
        <v>0.26</v>
      </c>
      <c r="AA42">
        <v>0</v>
      </c>
      <c r="AB42">
        <v>327.64</v>
      </c>
      <c r="AC42">
        <v>252.65</v>
      </c>
      <c r="AD42">
        <v>0</v>
      </c>
      <c r="AE42">
        <v>0</v>
      </c>
      <c r="AF42">
        <v>32.090000000000003</v>
      </c>
      <c r="AG42">
        <v>12.1</v>
      </c>
      <c r="AH42">
        <v>0</v>
      </c>
      <c r="AI42">
        <v>1</v>
      </c>
      <c r="AJ42">
        <v>10.210000000000001</v>
      </c>
      <c r="AK42">
        <v>20.88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0.26</v>
      </c>
      <c r="AU42" t="s">
        <v>3</v>
      </c>
      <c r="AV42">
        <v>0</v>
      </c>
      <c r="AW42">
        <v>2</v>
      </c>
      <c r="AX42">
        <v>48370599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Y42*Source!I37</f>
        <v>2.6000000000000003E-3</v>
      </c>
      <c r="CY42">
        <f>AB42</f>
        <v>327.64</v>
      </c>
      <c r="CZ42">
        <f>AF42</f>
        <v>32.090000000000003</v>
      </c>
      <c r="DA42">
        <f>AJ42</f>
        <v>10.210000000000001</v>
      </c>
      <c r="DB42">
        <v>0</v>
      </c>
    </row>
    <row r="43" spans="1:106">
      <c r="A43">
        <f>ROW(Source!A37)</f>
        <v>37</v>
      </c>
      <c r="B43">
        <v>48370320</v>
      </c>
      <c r="C43">
        <v>48370596</v>
      </c>
      <c r="D43">
        <v>37792788</v>
      </c>
      <c r="E43">
        <v>1</v>
      </c>
      <c r="F43">
        <v>1</v>
      </c>
      <c r="G43">
        <v>1</v>
      </c>
      <c r="H43">
        <v>3</v>
      </c>
      <c r="I43" t="s">
        <v>564</v>
      </c>
      <c r="J43" t="s">
        <v>565</v>
      </c>
      <c r="K43" t="s">
        <v>566</v>
      </c>
      <c r="L43">
        <v>1348</v>
      </c>
      <c r="N43">
        <v>1009</v>
      </c>
      <c r="O43" t="s">
        <v>536</v>
      </c>
      <c r="P43" t="s">
        <v>536</v>
      </c>
      <c r="Q43">
        <v>1000</v>
      </c>
      <c r="W43">
        <v>0</v>
      </c>
      <c r="X43">
        <v>-856488199</v>
      </c>
      <c r="Y43">
        <v>1.82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 t="s">
        <v>3</v>
      </c>
      <c r="AT43">
        <v>1.82</v>
      </c>
      <c r="AU43" t="s">
        <v>3</v>
      </c>
      <c r="AV43">
        <v>0</v>
      </c>
      <c r="AW43">
        <v>2</v>
      </c>
      <c r="AX43">
        <v>48370600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Y43*Source!I37</f>
        <v>1.8200000000000001E-2</v>
      </c>
      <c r="CY43">
        <f>AA43</f>
        <v>0</v>
      </c>
      <c r="CZ43">
        <f>AE43</f>
        <v>0</v>
      </c>
      <c r="DA43">
        <f>AI43</f>
        <v>1</v>
      </c>
      <c r="DB43">
        <v>0</v>
      </c>
    </row>
    <row r="44" spans="1:106">
      <c r="A44">
        <f>ROW(Source!A38)</f>
        <v>38</v>
      </c>
      <c r="B44">
        <v>48370320</v>
      </c>
      <c r="C44">
        <v>48370636</v>
      </c>
      <c r="D44">
        <v>23134664</v>
      </c>
      <c r="E44">
        <v>1</v>
      </c>
      <c r="F44">
        <v>1</v>
      </c>
      <c r="G44">
        <v>1</v>
      </c>
      <c r="H44">
        <v>1</v>
      </c>
      <c r="I44" t="s">
        <v>567</v>
      </c>
      <c r="J44" t="s">
        <v>3</v>
      </c>
      <c r="K44" t="s">
        <v>568</v>
      </c>
      <c r="L44">
        <v>1369</v>
      </c>
      <c r="N44">
        <v>1013</v>
      </c>
      <c r="O44" t="s">
        <v>510</v>
      </c>
      <c r="P44" t="s">
        <v>510</v>
      </c>
      <c r="Q44">
        <v>1</v>
      </c>
      <c r="W44">
        <v>0</v>
      </c>
      <c r="X44">
        <v>-1578608621</v>
      </c>
      <c r="Y44">
        <v>68.202750000000009</v>
      </c>
      <c r="AA44">
        <v>0</v>
      </c>
      <c r="AB44">
        <v>0</v>
      </c>
      <c r="AC44">
        <v>0</v>
      </c>
      <c r="AD44">
        <v>8.89</v>
      </c>
      <c r="AE44">
        <v>0</v>
      </c>
      <c r="AF44">
        <v>0</v>
      </c>
      <c r="AG44">
        <v>0</v>
      </c>
      <c r="AH44">
        <v>8.89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3</v>
      </c>
      <c r="AT44">
        <v>35.43</v>
      </c>
      <c r="AU44" t="s">
        <v>85</v>
      </c>
      <c r="AV44">
        <v>1</v>
      </c>
      <c r="AW44">
        <v>2</v>
      </c>
      <c r="AX44">
        <v>48370637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Y44*Source!I38</f>
        <v>0.68202750000000012</v>
      </c>
      <c r="CY44">
        <f>AD44</f>
        <v>8.89</v>
      </c>
      <c r="CZ44">
        <f>AH44</f>
        <v>8.89</v>
      </c>
      <c r="DA44">
        <f>AL44</f>
        <v>1</v>
      </c>
      <c r="DB44">
        <v>0</v>
      </c>
    </row>
    <row r="45" spans="1:106">
      <c r="A45">
        <f>ROW(Source!A38)</f>
        <v>38</v>
      </c>
      <c r="B45">
        <v>48370320</v>
      </c>
      <c r="C45">
        <v>48370636</v>
      </c>
      <c r="D45">
        <v>121548</v>
      </c>
      <c r="E45">
        <v>1</v>
      </c>
      <c r="F45">
        <v>1</v>
      </c>
      <c r="G45">
        <v>1</v>
      </c>
      <c r="H45">
        <v>1</v>
      </c>
      <c r="I45" t="s">
        <v>24</v>
      </c>
      <c r="J45" t="s">
        <v>3</v>
      </c>
      <c r="K45" t="s">
        <v>511</v>
      </c>
      <c r="L45">
        <v>608254</v>
      </c>
      <c r="N45">
        <v>1013</v>
      </c>
      <c r="O45" t="s">
        <v>512</v>
      </c>
      <c r="P45" t="s">
        <v>512</v>
      </c>
      <c r="Q45">
        <v>1</v>
      </c>
      <c r="W45">
        <v>0</v>
      </c>
      <c r="X45">
        <v>-185737400</v>
      </c>
      <c r="Y45">
        <v>17.305750000000003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3</v>
      </c>
      <c r="AT45">
        <v>8.99</v>
      </c>
      <c r="AU45" t="s">
        <v>85</v>
      </c>
      <c r="AV45">
        <v>2</v>
      </c>
      <c r="AW45">
        <v>2</v>
      </c>
      <c r="AX45">
        <v>48370638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Y45*Source!I38</f>
        <v>0.17305750000000003</v>
      </c>
      <c r="CY45">
        <f>AD45</f>
        <v>0</v>
      </c>
      <c r="CZ45">
        <f>AH45</f>
        <v>0</v>
      </c>
      <c r="DA45">
        <f>AL45</f>
        <v>1</v>
      </c>
      <c r="DB45">
        <v>0</v>
      </c>
    </row>
    <row r="46" spans="1:106">
      <c r="A46">
        <f>ROW(Source!A38)</f>
        <v>38</v>
      </c>
      <c r="B46">
        <v>48370320</v>
      </c>
      <c r="C46">
        <v>48370636</v>
      </c>
      <c r="D46">
        <v>37802699</v>
      </c>
      <c r="E46">
        <v>1</v>
      </c>
      <c r="F46">
        <v>1</v>
      </c>
      <c r="G46">
        <v>1</v>
      </c>
      <c r="H46">
        <v>2</v>
      </c>
      <c r="I46" t="s">
        <v>513</v>
      </c>
      <c r="J46" t="s">
        <v>514</v>
      </c>
      <c r="K46" t="s">
        <v>515</v>
      </c>
      <c r="L46">
        <v>1368</v>
      </c>
      <c r="N46">
        <v>1011</v>
      </c>
      <c r="O46" t="s">
        <v>516</v>
      </c>
      <c r="P46" t="s">
        <v>516</v>
      </c>
      <c r="Q46">
        <v>1</v>
      </c>
      <c r="W46">
        <v>0</v>
      </c>
      <c r="X46">
        <v>2133576372</v>
      </c>
      <c r="Y46">
        <v>17.305750000000003</v>
      </c>
      <c r="AA46">
        <v>0</v>
      </c>
      <c r="AB46">
        <v>591.41999999999996</v>
      </c>
      <c r="AC46">
        <v>187.92</v>
      </c>
      <c r="AD46">
        <v>0</v>
      </c>
      <c r="AE46">
        <v>0</v>
      </c>
      <c r="AF46">
        <v>59.38</v>
      </c>
      <c r="AG46">
        <v>9</v>
      </c>
      <c r="AH46">
        <v>0</v>
      </c>
      <c r="AI46">
        <v>1</v>
      </c>
      <c r="AJ46">
        <v>9.9600000000000009</v>
      </c>
      <c r="AK46">
        <v>20.88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8.99</v>
      </c>
      <c r="AU46" t="s">
        <v>85</v>
      </c>
      <c r="AV46">
        <v>0</v>
      </c>
      <c r="AW46">
        <v>2</v>
      </c>
      <c r="AX46">
        <v>48370639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Y46*Source!I38</f>
        <v>0.17305750000000003</v>
      </c>
      <c r="CY46">
        <f>AB46</f>
        <v>591.41999999999996</v>
      </c>
      <c r="CZ46">
        <f>AF46</f>
        <v>59.38</v>
      </c>
      <c r="DA46">
        <f>AJ46</f>
        <v>9.9600000000000009</v>
      </c>
      <c r="DB46">
        <v>0</v>
      </c>
    </row>
    <row r="47" spans="1:106">
      <c r="A47">
        <f>ROW(Source!A38)</f>
        <v>38</v>
      </c>
      <c r="B47">
        <v>48370320</v>
      </c>
      <c r="C47">
        <v>48370636</v>
      </c>
      <c r="D47">
        <v>37804095</v>
      </c>
      <c r="E47">
        <v>1</v>
      </c>
      <c r="F47">
        <v>1</v>
      </c>
      <c r="G47">
        <v>1</v>
      </c>
      <c r="H47">
        <v>2</v>
      </c>
      <c r="I47" t="s">
        <v>517</v>
      </c>
      <c r="J47" t="s">
        <v>518</v>
      </c>
      <c r="K47" t="s">
        <v>519</v>
      </c>
      <c r="L47">
        <v>1368</v>
      </c>
      <c r="N47">
        <v>1011</v>
      </c>
      <c r="O47" t="s">
        <v>516</v>
      </c>
      <c r="P47" t="s">
        <v>516</v>
      </c>
      <c r="Q47">
        <v>1</v>
      </c>
      <c r="W47">
        <v>0</v>
      </c>
      <c r="X47">
        <v>1159152410</v>
      </c>
      <c r="Y47">
        <v>34.611500000000007</v>
      </c>
      <c r="AA47">
        <v>0</v>
      </c>
      <c r="AB47">
        <v>5.53</v>
      </c>
      <c r="AC47">
        <v>0</v>
      </c>
      <c r="AD47">
        <v>0</v>
      </c>
      <c r="AE47">
        <v>0</v>
      </c>
      <c r="AF47">
        <v>1.69</v>
      </c>
      <c r="AG47">
        <v>0</v>
      </c>
      <c r="AH47">
        <v>0</v>
      </c>
      <c r="AI47">
        <v>1</v>
      </c>
      <c r="AJ47">
        <v>3.27</v>
      </c>
      <c r="AK47">
        <v>20.88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3</v>
      </c>
      <c r="AT47">
        <v>17.98</v>
      </c>
      <c r="AU47" t="s">
        <v>85</v>
      </c>
      <c r="AV47">
        <v>0</v>
      </c>
      <c r="AW47">
        <v>2</v>
      </c>
      <c r="AX47">
        <v>48370640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Y47*Source!I38</f>
        <v>0.34611500000000006</v>
      </c>
      <c r="CY47">
        <f>AB47</f>
        <v>5.53</v>
      </c>
      <c r="CZ47">
        <f>AF47</f>
        <v>1.69</v>
      </c>
      <c r="DA47">
        <f>AJ47</f>
        <v>3.27</v>
      </c>
      <c r="DB47">
        <v>0</v>
      </c>
    </row>
    <row r="48" spans="1:106">
      <c r="A48">
        <f>ROW(Source!A39)</f>
        <v>39</v>
      </c>
      <c r="B48">
        <v>48370320</v>
      </c>
      <c r="C48">
        <v>48370648</v>
      </c>
      <c r="D48">
        <v>23146426</v>
      </c>
      <c r="E48">
        <v>1</v>
      </c>
      <c r="F48">
        <v>1</v>
      </c>
      <c r="G48">
        <v>1</v>
      </c>
      <c r="H48">
        <v>1</v>
      </c>
      <c r="I48" t="s">
        <v>569</v>
      </c>
      <c r="J48" t="s">
        <v>3</v>
      </c>
      <c r="K48" t="s">
        <v>570</v>
      </c>
      <c r="L48">
        <v>1369</v>
      </c>
      <c r="N48">
        <v>1013</v>
      </c>
      <c r="O48" t="s">
        <v>510</v>
      </c>
      <c r="P48" t="s">
        <v>510</v>
      </c>
      <c r="Q48">
        <v>1</v>
      </c>
      <c r="W48">
        <v>0</v>
      </c>
      <c r="X48">
        <v>-348873804</v>
      </c>
      <c r="Y48">
        <v>61.9</v>
      </c>
      <c r="AA48">
        <v>0</v>
      </c>
      <c r="AB48">
        <v>0</v>
      </c>
      <c r="AC48">
        <v>0</v>
      </c>
      <c r="AD48">
        <v>9.27</v>
      </c>
      <c r="AE48">
        <v>0</v>
      </c>
      <c r="AF48">
        <v>0</v>
      </c>
      <c r="AG48">
        <v>0</v>
      </c>
      <c r="AH48">
        <v>9.27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61.9</v>
      </c>
      <c r="AU48" t="s">
        <v>3</v>
      </c>
      <c r="AV48">
        <v>1</v>
      </c>
      <c r="AW48">
        <v>2</v>
      </c>
      <c r="AX48">
        <v>48370649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Y48*Source!I39</f>
        <v>2.476</v>
      </c>
      <c r="CY48">
        <f>AD48</f>
        <v>9.27</v>
      </c>
      <c r="CZ48">
        <f>AH48</f>
        <v>9.27</v>
      </c>
      <c r="DA48">
        <f>AL48</f>
        <v>1</v>
      </c>
      <c r="DB48">
        <v>0</v>
      </c>
    </row>
    <row r="49" spans="1:106">
      <c r="A49">
        <f>ROW(Source!A39)</f>
        <v>39</v>
      </c>
      <c r="B49">
        <v>48370320</v>
      </c>
      <c r="C49">
        <v>48370648</v>
      </c>
      <c r="D49">
        <v>121548</v>
      </c>
      <c r="E49">
        <v>1</v>
      </c>
      <c r="F49">
        <v>1</v>
      </c>
      <c r="G49">
        <v>1</v>
      </c>
      <c r="H49">
        <v>1</v>
      </c>
      <c r="I49" t="s">
        <v>24</v>
      </c>
      <c r="J49" t="s">
        <v>3</v>
      </c>
      <c r="K49" t="s">
        <v>511</v>
      </c>
      <c r="L49">
        <v>608254</v>
      </c>
      <c r="N49">
        <v>1013</v>
      </c>
      <c r="O49" t="s">
        <v>512</v>
      </c>
      <c r="P49" t="s">
        <v>512</v>
      </c>
      <c r="Q49">
        <v>1</v>
      </c>
      <c r="W49">
        <v>0</v>
      </c>
      <c r="X49">
        <v>-185737400</v>
      </c>
      <c r="Y49">
        <v>0.2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0.2</v>
      </c>
      <c r="AU49" t="s">
        <v>3</v>
      </c>
      <c r="AV49">
        <v>2</v>
      </c>
      <c r="AW49">
        <v>2</v>
      </c>
      <c r="AX49">
        <v>48370650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Y49*Source!I39</f>
        <v>8.0000000000000002E-3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>
      <c r="A50">
        <f>ROW(Source!A39)</f>
        <v>39</v>
      </c>
      <c r="B50">
        <v>48370320</v>
      </c>
      <c r="C50">
        <v>48370648</v>
      </c>
      <c r="D50">
        <v>37802578</v>
      </c>
      <c r="E50">
        <v>1</v>
      </c>
      <c r="F50">
        <v>1</v>
      </c>
      <c r="G50">
        <v>1</v>
      </c>
      <c r="H50">
        <v>2</v>
      </c>
      <c r="I50" t="s">
        <v>550</v>
      </c>
      <c r="J50" t="s">
        <v>551</v>
      </c>
      <c r="K50" t="s">
        <v>552</v>
      </c>
      <c r="L50">
        <v>1368</v>
      </c>
      <c r="N50">
        <v>1011</v>
      </c>
      <c r="O50" t="s">
        <v>516</v>
      </c>
      <c r="P50" t="s">
        <v>516</v>
      </c>
      <c r="Q50">
        <v>1</v>
      </c>
      <c r="W50">
        <v>0</v>
      </c>
      <c r="X50">
        <v>1753337916</v>
      </c>
      <c r="Y50">
        <v>0.2</v>
      </c>
      <c r="AA50">
        <v>0</v>
      </c>
      <c r="AB50">
        <v>327.64</v>
      </c>
      <c r="AC50">
        <v>252.65</v>
      </c>
      <c r="AD50">
        <v>0</v>
      </c>
      <c r="AE50">
        <v>0</v>
      </c>
      <c r="AF50">
        <v>32.090000000000003</v>
      </c>
      <c r="AG50">
        <v>12.1</v>
      </c>
      <c r="AH50">
        <v>0</v>
      </c>
      <c r="AI50">
        <v>1</v>
      </c>
      <c r="AJ50">
        <v>10.210000000000001</v>
      </c>
      <c r="AK50">
        <v>20.88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0.2</v>
      </c>
      <c r="AU50" t="s">
        <v>3</v>
      </c>
      <c r="AV50">
        <v>0</v>
      </c>
      <c r="AW50">
        <v>2</v>
      </c>
      <c r="AX50">
        <v>48370651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Y50*Source!I39</f>
        <v>8.0000000000000002E-3</v>
      </c>
      <c r="CY50">
        <f>AB50</f>
        <v>327.64</v>
      </c>
      <c r="CZ50">
        <f>AF50</f>
        <v>32.090000000000003</v>
      </c>
      <c r="DA50">
        <f>AJ50</f>
        <v>10.210000000000001</v>
      </c>
      <c r="DB50">
        <v>0</v>
      </c>
    </row>
    <row r="51" spans="1:106">
      <c r="A51">
        <f>ROW(Source!A39)</f>
        <v>39</v>
      </c>
      <c r="B51">
        <v>48370320</v>
      </c>
      <c r="C51">
        <v>48370648</v>
      </c>
      <c r="D51">
        <v>37804456</v>
      </c>
      <c r="E51">
        <v>1</v>
      </c>
      <c r="F51">
        <v>1</v>
      </c>
      <c r="G51">
        <v>1</v>
      </c>
      <c r="H51">
        <v>2</v>
      </c>
      <c r="I51" t="s">
        <v>530</v>
      </c>
      <c r="J51" t="s">
        <v>531</v>
      </c>
      <c r="K51" t="s">
        <v>532</v>
      </c>
      <c r="L51">
        <v>1368</v>
      </c>
      <c r="N51">
        <v>1011</v>
      </c>
      <c r="O51" t="s">
        <v>516</v>
      </c>
      <c r="P51" t="s">
        <v>516</v>
      </c>
      <c r="Q51">
        <v>1</v>
      </c>
      <c r="W51">
        <v>0</v>
      </c>
      <c r="X51">
        <v>-671646184</v>
      </c>
      <c r="Y51">
        <v>0.2</v>
      </c>
      <c r="AA51">
        <v>0</v>
      </c>
      <c r="AB51">
        <v>844.19</v>
      </c>
      <c r="AC51">
        <v>216.11</v>
      </c>
      <c r="AD51">
        <v>0</v>
      </c>
      <c r="AE51">
        <v>0</v>
      </c>
      <c r="AF51">
        <v>91.76</v>
      </c>
      <c r="AG51">
        <v>10.35</v>
      </c>
      <c r="AH51">
        <v>0</v>
      </c>
      <c r="AI51">
        <v>1</v>
      </c>
      <c r="AJ51">
        <v>9.1999999999999993</v>
      </c>
      <c r="AK51">
        <v>20.88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0.2</v>
      </c>
      <c r="AU51" t="s">
        <v>3</v>
      </c>
      <c r="AV51">
        <v>0</v>
      </c>
      <c r="AW51">
        <v>2</v>
      </c>
      <c r="AX51">
        <v>48370652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Y51*Source!I39</f>
        <v>8.0000000000000002E-3</v>
      </c>
      <c r="CY51">
        <f>AB51</f>
        <v>844.19</v>
      </c>
      <c r="CZ51">
        <f>AF51</f>
        <v>91.76</v>
      </c>
      <c r="DA51">
        <f>AJ51</f>
        <v>9.1999999999999993</v>
      </c>
      <c r="DB51">
        <v>0</v>
      </c>
    </row>
    <row r="52" spans="1:106">
      <c r="A52">
        <f>ROW(Source!A39)</f>
        <v>39</v>
      </c>
      <c r="B52">
        <v>48370320</v>
      </c>
      <c r="C52">
        <v>48370648</v>
      </c>
      <c r="D52">
        <v>37732155</v>
      </c>
      <c r="E52">
        <v>1</v>
      </c>
      <c r="F52">
        <v>1</v>
      </c>
      <c r="G52">
        <v>1</v>
      </c>
      <c r="H52">
        <v>3</v>
      </c>
      <c r="I52" t="s">
        <v>571</v>
      </c>
      <c r="J52" t="s">
        <v>572</v>
      </c>
      <c r="K52" t="s">
        <v>573</v>
      </c>
      <c r="L52">
        <v>1346</v>
      </c>
      <c r="N52">
        <v>1009</v>
      </c>
      <c r="O52" t="s">
        <v>172</v>
      </c>
      <c r="P52" t="s">
        <v>172</v>
      </c>
      <c r="Q52">
        <v>1</v>
      </c>
      <c r="W52">
        <v>0</v>
      </c>
      <c r="X52">
        <v>1545344</v>
      </c>
      <c r="Y52">
        <v>4</v>
      </c>
      <c r="AA52">
        <v>129.37</v>
      </c>
      <c r="AB52">
        <v>0</v>
      </c>
      <c r="AC52">
        <v>0</v>
      </c>
      <c r="AD52">
        <v>0</v>
      </c>
      <c r="AE52">
        <v>24.41</v>
      </c>
      <c r="AF52">
        <v>0</v>
      </c>
      <c r="AG52">
        <v>0</v>
      </c>
      <c r="AH52">
        <v>0</v>
      </c>
      <c r="AI52">
        <v>5.3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4</v>
      </c>
      <c r="AU52" t="s">
        <v>3</v>
      </c>
      <c r="AV52">
        <v>0</v>
      </c>
      <c r="AW52">
        <v>2</v>
      </c>
      <c r="AX52">
        <v>48370653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Y52*Source!I39</f>
        <v>0.16</v>
      </c>
      <c r="CY52">
        <f>AA52</f>
        <v>129.37</v>
      </c>
      <c r="CZ52">
        <f>AE52</f>
        <v>24.41</v>
      </c>
      <c r="DA52">
        <f>AI52</f>
        <v>5.3</v>
      </c>
      <c r="DB52">
        <v>0</v>
      </c>
    </row>
    <row r="53" spans="1:106">
      <c r="A53">
        <f>ROW(Source!A39)</f>
        <v>39</v>
      </c>
      <c r="B53">
        <v>48370320</v>
      </c>
      <c r="C53">
        <v>48370648</v>
      </c>
      <c r="D53">
        <v>37736852</v>
      </c>
      <c r="E53">
        <v>1</v>
      </c>
      <c r="F53">
        <v>1</v>
      </c>
      <c r="G53">
        <v>1</v>
      </c>
      <c r="H53">
        <v>3</v>
      </c>
      <c r="I53" t="s">
        <v>574</v>
      </c>
      <c r="J53" t="s">
        <v>575</v>
      </c>
      <c r="K53" t="s">
        <v>576</v>
      </c>
      <c r="L53">
        <v>1348</v>
      </c>
      <c r="N53">
        <v>1009</v>
      </c>
      <c r="O53" t="s">
        <v>536</v>
      </c>
      <c r="P53" t="s">
        <v>536</v>
      </c>
      <c r="Q53">
        <v>1000</v>
      </c>
      <c r="W53">
        <v>0</v>
      </c>
      <c r="X53">
        <v>259030359</v>
      </c>
      <c r="Y53">
        <v>2.7000000000000001E-3</v>
      </c>
      <c r="AA53">
        <v>71480.600000000006</v>
      </c>
      <c r="AB53">
        <v>0</v>
      </c>
      <c r="AC53">
        <v>0</v>
      </c>
      <c r="AD53">
        <v>0</v>
      </c>
      <c r="AE53">
        <v>14830</v>
      </c>
      <c r="AF53">
        <v>0</v>
      </c>
      <c r="AG53">
        <v>0</v>
      </c>
      <c r="AH53">
        <v>0</v>
      </c>
      <c r="AI53">
        <v>4.82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2.7000000000000001E-3</v>
      </c>
      <c r="AU53" t="s">
        <v>3</v>
      </c>
      <c r="AV53">
        <v>0</v>
      </c>
      <c r="AW53">
        <v>2</v>
      </c>
      <c r="AX53">
        <v>48370654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1.0800000000000001E-4</v>
      </c>
      <c r="CY53">
        <f>AA53</f>
        <v>71480.600000000006</v>
      </c>
      <c r="CZ53">
        <f>AE53</f>
        <v>14830</v>
      </c>
      <c r="DA53">
        <f>AI53</f>
        <v>4.82</v>
      </c>
      <c r="DB53">
        <v>0</v>
      </c>
    </row>
    <row r="54" spans="1:106">
      <c r="A54">
        <f>ROW(Source!A39)</f>
        <v>39</v>
      </c>
      <c r="B54">
        <v>48370320</v>
      </c>
      <c r="C54">
        <v>48370648</v>
      </c>
      <c r="D54">
        <v>37762030</v>
      </c>
      <c r="E54">
        <v>1</v>
      </c>
      <c r="F54">
        <v>1</v>
      </c>
      <c r="G54">
        <v>1</v>
      </c>
      <c r="H54">
        <v>3</v>
      </c>
      <c r="I54" t="s">
        <v>577</v>
      </c>
      <c r="J54" t="s">
        <v>578</v>
      </c>
      <c r="K54" t="s">
        <v>579</v>
      </c>
      <c r="L54">
        <v>1346</v>
      </c>
      <c r="N54">
        <v>1009</v>
      </c>
      <c r="O54" t="s">
        <v>172</v>
      </c>
      <c r="P54" t="s">
        <v>172</v>
      </c>
      <c r="Q54">
        <v>1</v>
      </c>
      <c r="W54">
        <v>0</v>
      </c>
      <c r="X54">
        <v>677759854</v>
      </c>
      <c r="Y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1</v>
      </c>
      <c r="AO54">
        <v>0</v>
      </c>
      <c r="AP54">
        <v>0</v>
      </c>
      <c r="AQ54">
        <v>0</v>
      </c>
      <c r="AR54">
        <v>0</v>
      </c>
      <c r="AS54" t="s">
        <v>3</v>
      </c>
      <c r="AT54">
        <v>0</v>
      </c>
      <c r="AU54" t="s">
        <v>3</v>
      </c>
      <c r="AV54">
        <v>0</v>
      </c>
      <c r="AW54">
        <v>2</v>
      </c>
      <c r="AX54">
        <v>48370655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0</v>
      </c>
      <c r="CY54">
        <f>AA54</f>
        <v>0</v>
      </c>
      <c r="CZ54">
        <f>AE54</f>
        <v>0</v>
      </c>
      <c r="DA54">
        <f>AI54</f>
        <v>1</v>
      </c>
      <c r="DB54">
        <v>0</v>
      </c>
    </row>
    <row r="55" spans="1:106">
      <c r="A55">
        <f>ROW(Source!A39)</f>
        <v>39</v>
      </c>
      <c r="B55">
        <v>48370320</v>
      </c>
      <c r="C55">
        <v>48370648</v>
      </c>
      <c r="D55">
        <v>37767093</v>
      </c>
      <c r="E55">
        <v>1</v>
      </c>
      <c r="F55">
        <v>1</v>
      </c>
      <c r="G55">
        <v>1</v>
      </c>
      <c r="H55">
        <v>3</v>
      </c>
      <c r="I55" t="s">
        <v>580</v>
      </c>
      <c r="J55" t="s">
        <v>581</v>
      </c>
      <c r="K55" t="s">
        <v>582</v>
      </c>
      <c r="L55">
        <v>1301</v>
      </c>
      <c r="N55">
        <v>1003</v>
      </c>
      <c r="O55" t="s">
        <v>208</v>
      </c>
      <c r="P55" t="s">
        <v>208</v>
      </c>
      <c r="Q55">
        <v>1</v>
      </c>
      <c r="W55">
        <v>0</v>
      </c>
      <c r="X55">
        <v>-1376368494</v>
      </c>
      <c r="Y55">
        <v>99.8</v>
      </c>
      <c r="AA55">
        <v>378.9</v>
      </c>
      <c r="AB55">
        <v>0</v>
      </c>
      <c r="AC55">
        <v>0</v>
      </c>
      <c r="AD55">
        <v>0</v>
      </c>
      <c r="AE55">
        <v>119.15</v>
      </c>
      <c r="AF55">
        <v>0</v>
      </c>
      <c r="AG55">
        <v>0</v>
      </c>
      <c r="AH55">
        <v>0</v>
      </c>
      <c r="AI55">
        <v>3.18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99.8</v>
      </c>
      <c r="AU55" t="s">
        <v>3</v>
      </c>
      <c r="AV55">
        <v>0</v>
      </c>
      <c r="AW55">
        <v>2</v>
      </c>
      <c r="AX55">
        <v>48370656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3.992</v>
      </c>
      <c r="CY55">
        <f>AA55</f>
        <v>378.9</v>
      </c>
      <c r="CZ55">
        <f>AE55</f>
        <v>119.15</v>
      </c>
      <c r="DA55">
        <f>AI55</f>
        <v>3.18</v>
      </c>
      <c r="DB55">
        <v>0</v>
      </c>
    </row>
    <row r="56" spans="1:106">
      <c r="A56">
        <f>ROW(Source!A39)</f>
        <v>39</v>
      </c>
      <c r="B56">
        <v>48370320</v>
      </c>
      <c r="C56">
        <v>48370648</v>
      </c>
      <c r="D56">
        <v>37792787</v>
      </c>
      <c r="E56">
        <v>1</v>
      </c>
      <c r="F56">
        <v>1</v>
      </c>
      <c r="G56">
        <v>1</v>
      </c>
      <c r="H56">
        <v>3</v>
      </c>
      <c r="I56" t="s">
        <v>555</v>
      </c>
      <c r="J56" t="s">
        <v>556</v>
      </c>
      <c r="K56" t="s">
        <v>557</v>
      </c>
      <c r="L56">
        <v>1348</v>
      </c>
      <c r="N56">
        <v>1009</v>
      </c>
      <c r="O56" t="s">
        <v>536</v>
      </c>
      <c r="P56" t="s">
        <v>536</v>
      </c>
      <c r="Q56">
        <v>1000</v>
      </c>
      <c r="W56">
        <v>0</v>
      </c>
      <c r="X56">
        <v>-150994421</v>
      </c>
      <c r="Y56">
        <v>0.11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 t="s">
        <v>3</v>
      </c>
      <c r="AT56">
        <v>0.11</v>
      </c>
      <c r="AU56" t="s">
        <v>3</v>
      </c>
      <c r="AV56">
        <v>0</v>
      </c>
      <c r="AW56">
        <v>2</v>
      </c>
      <c r="AX56">
        <v>48370657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4.4000000000000003E-3</v>
      </c>
      <c r="CY56">
        <f>AA56</f>
        <v>0</v>
      </c>
      <c r="CZ56">
        <f>AE56</f>
        <v>0</v>
      </c>
      <c r="DA56">
        <f>AI56</f>
        <v>1</v>
      </c>
      <c r="DB56">
        <v>0</v>
      </c>
    </row>
    <row r="57" spans="1:106">
      <c r="A57">
        <f>ROW(Source!A40)</f>
        <v>40</v>
      </c>
      <c r="B57">
        <v>48370320</v>
      </c>
      <c r="C57">
        <v>48370723</v>
      </c>
      <c r="D57">
        <v>23146426</v>
      </c>
      <c r="E57">
        <v>1</v>
      </c>
      <c r="F57">
        <v>1</v>
      </c>
      <c r="G57">
        <v>1</v>
      </c>
      <c r="H57">
        <v>1</v>
      </c>
      <c r="I57" t="s">
        <v>569</v>
      </c>
      <c r="J57" t="s">
        <v>3</v>
      </c>
      <c r="K57" t="s">
        <v>570</v>
      </c>
      <c r="L57">
        <v>1369</v>
      </c>
      <c r="N57">
        <v>1013</v>
      </c>
      <c r="O57" t="s">
        <v>510</v>
      </c>
      <c r="P57" t="s">
        <v>510</v>
      </c>
      <c r="Q57">
        <v>1</v>
      </c>
      <c r="W57">
        <v>0</v>
      </c>
      <c r="X57">
        <v>-348873804</v>
      </c>
      <c r="Y57">
        <v>48.72</v>
      </c>
      <c r="AA57">
        <v>0</v>
      </c>
      <c r="AB57">
        <v>0</v>
      </c>
      <c r="AC57">
        <v>0</v>
      </c>
      <c r="AD57">
        <v>9.27</v>
      </c>
      <c r="AE57">
        <v>0</v>
      </c>
      <c r="AF57">
        <v>0</v>
      </c>
      <c r="AG57">
        <v>0</v>
      </c>
      <c r="AH57">
        <v>9.27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3</v>
      </c>
      <c r="AT57">
        <v>121.8</v>
      </c>
      <c r="AU57" t="s">
        <v>100</v>
      </c>
      <c r="AV57">
        <v>1</v>
      </c>
      <c r="AW57">
        <v>2</v>
      </c>
      <c r="AX57">
        <v>48370741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2.9232</v>
      </c>
      <c r="CY57">
        <f>AD57</f>
        <v>9.27</v>
      </c>
      <c r="CZ57">
        <f>AH57</f>
        <v>9.27</v>
      </c>
      <c r="DA57">
        <f>AL57</f>
        <v>1</v>
      </c>
      <c r="DB57">
        <v>0</v>
      </c>
    </row>
    <row r="58" spans="1:106">
      <c r="A58">
        <f>ROW(Source!A40)</f>
        <v>40</v>
      </c>
      <c r="B58">
        <v>48370320</v>
      </c>
      <c r="C58">
        <v>48370723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24</v>
      </c>
      <c r="J58" t="s">
        <v>3</v>
      </c>
      <c r="K58" t="s">
        <v>511</v>
      </c>
      <c r="L58">
        <v>608254</v>
      </c>
      <c r="N58">
        <v>1013</v>
      </c>
      <c r="O58" t="s">
        <v>512</v>
      </c>
      <c r="P58" t="s">
        <v>512</v>
      </c>
      <c r="Q58">
        <v>1</v>
      </c>
      <c r="W58">
        <v>0</v>
      </c>
      <c r="X58">
        <v>-185737400</v>
      </c>
      <c r="Y58">
        <v>1.8879999999999999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S58" t="s">
        <v>3</v>
      </c>
      <c r="AT58">
        <v>4.72</v>
      </c>
      <c r="AU58" t="s">
        <v>100</v>
      </c>
      <c r="AV58">
        <v>2</v>
      </c>
      <c r="AW58">
        <v>2</v>
      </c>
      <c r="AX58">
        <v>48370742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0.11327999999999999</v>
      </c>
      <c r="CY58">
        <f>AD58</f>
        <v>0</v>
      </c>
      <c r="CZ58">
        <f>AH58</f>
        <v>0</v>
      </c>
      <c r="DA58">
        <f>AL58</f>
        <v>1</v>
      </c>
      <c r="DB58">
        <v>0</v>
      </c>
    </row>
    <row r="59" spans="1:106">
      <c r="A59">
        <f>ROW(Source!A40)</f>
        <v>40</v>
      </c>
      <c r="B59">
        <v>48370320</v>
      </c>
      <c r="C59">
        <v>48370723</v>
      </c>
      <c r="D59">
        <v>37802359</v>
      </c>
      <c r="E59">
        <v>1</v>
      </c>
      <c r="F59">
        <v>1</v>
      </c>
      <c r="G59">
        <v>1</v>
      </c>
      <c r="H59">
        <v>2</v>
      </c>
      <c r="I59" t="s">
        <v>583</v>
      </c>
      <c r="J59" t="s">
        <v>584</v>
      </c>
      <c r="K59" t="s">
        <v>585</v>
      </c>
      <c r="L59">
        <v>1368</v>
      </c>
      <c r="N59">
        <v>1011</v>
      </c>
      <c r="O59" t="s">
        <v>516</v>
      </c>
      <c r="P59" t="s">
        <v>516</v>
      </c>
      <c r="Q59">
        <v>1</v>
      </c>
      <c r="W59">
        <v>0</v>
      </c>
      <c r="X59">
        <v>1604115853</v>
      </c>
      <c r="Y59">
        <v>2.0000000000000004E-2</v>
      </c>
      <c r="AA59">
        <v>0</v>
      </c>
      <c r="AB59">
        <v>718.22</v>
      </c>
      <c r="AC59">
        <v>252.65</v>
      </c>
      <c r="AD59">
        <v>0</v>
      </c>
      <c r="AE59">
        <v>0</v>
      </c>
      <c r="AF59">
        <v>103.49</v>
      </c>
      <c r="AG59">
        <v>12.1</v>
      </c>
      <c r="AH59">
        <v>0</v>
      </c>
      <c r="AI59">
        <v>1</v>
      </c>
      <c r="AJ59">
        <v>6.94</v>
      </c>
      <c r="AK59">
        <v>20.88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3</v>
      </c>
      <c r="AT59">
        <v>0.05</v>
      </c>
      <c r="AU59" t="s">
        <v>100</v>
      </c>
      <c r="AV59">
        <v>0</v>
      </c>
      <c r="AW59">
        <v>2</v>
      </c>
      <c r="AX59">
        <v>48370743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Y59*Source!I40</f>
        <v>1.2000000000000001E-3</v>
      </c>
      <c r="CY59">
        <f>AB59</f>
        <v>718.22</v>
      </c>
      <c r="CZ59">
        <f>AF59</f>
        <v>103.49</v>
      </c>
      <c r="DA59">
        <f>AJ59</f>
        <v>6.94</v>
      </c>
      <c r="DB59">
        <v>0</v>
      </c>
    </row>
    <row r="60" spans="1:106">
      <c r="A60">
        <f>ROW(Source!A40)</f>
        <v>40</v>
      </c>
      <c r="B60">
        <v>48370320</v>
      </c>
      <c r="C60">
        <v>48370723</v>
      </c>
      <c r="D60">
        <v>37802443</v>
      </c>
      <c r="E60">
        <v>1</v>
      </c>
      <c r="F60">
        <v>1</v>
      </c>
      <c r="G60">
        <v>1</v>
      </c>
      <c r="H60">
        <v>2</v>
      </c>
      <c r="I60" t="s">
        <v>586</v>
      </c>
      <c r="J60" t="s">
        <v>587</v>
      </c>
      <c r="K60" t="s">
        <v>588</v>
      </c>
      <c r="L60">
        <v>1368</v>
      </c>
      <c r="N60">
        <v>1011</v>
      </c>
      <c r="O60" t="s">
        <v>516</v>
      </c>
      <c r="P60" t="s">
        <v>516</v>
      </c>
      <c r="Q60">
        <v>1</v>
      </c>
      <c r="W60">
        <v>0</v>
      </c>
      <c r="X60">
        <v>1447433125</v>
      </c>
      <c r="Y60">
        <v>1.2E-2</v>
      </c>
      <c r="AA60">
        <v>0</v>
      </c>
      <c r="AB60">
        <v>981.95</v>
      </c>
      <c r="AC60">
        <v>252.65</v>
      </c>
      <c r="AD60">
        <v>0</v>
      </c>
      <c r="AE60">
        <v>0</v>
      </c>
      <c r="AF60">
        <v>124.14</v>
      </c>
      <c r="AG60">
        <v>12.1</v>
      </c>
      <c r="AH60">
        <v>0</v>
      </c>
      <c r="AI60">
        <v>1</v>
      </c>
      <c r="AJ60">
        <v>7.91</v>
      </c>
      <c r="AK60">
        <v>20.88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S60" t="s">
        <v>3</v>
      </c>
      <c r="AT60">
        <v>0.03</v>
      </c>
      <c r="AU60" t="s">
        <v>100</v>
      </c>
      <c r="AV60">
        <v>0</v>
      </c>
      <c r="AW60">
        <v>2</v>
      </c>
      <c r="AX60">
        <v>48370744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Y60*Source!I40</f>
        <v>7.1999999999999994E-4</v>
      </c>
      <c r="CY60">
        <f>AB60</f>
        <v>981.95</v>
      </c>
      <c r="CZ60">
        <f>AF60</f>
        <v>124.14</v>
      </c>
      <c r="DA60">
        <f>AJ60</f>
        <v>7.91</v>
      </c>
      <c r="DB60">
        <v>0</v>
      </c>
    </row>
    <row r="61" spans="1:106">
      <c r="A61">
        <f>ROW(Source!A40)</f>
        <v>40</v>
      </c>
      <c r="B61">
        <v>48370320</v>
      </c>
      <c r="C61">
        <v>48370723</v>
      </c>
      <c r="D61">
        <v>37802864</v>
      </c>
      <c r="E61">
        <v>1</v>
      </c>
      <c r="F61">
        <v>1</v>
      </c>
      <c r="G61">
        <v>1</v>
      </c>
      <c r="H61">
        <v>2</v>
      </c>
      <c r="I61" t="s">
        <v>589</v>
      </c>
      <c r="J61" t="s">
        <v>590</v>
      </c>
      <c r="K61" t="s">
        <v>591</v>
      </c>
      <c r="L61">
        <v>1368</v>
      </c>
      <c r="N61">
        <v>1011</v>
      </c>
      <c r="O61" t="s">
        <v>516</v>
      </c>
      <c r="P61" t="s">
        <v>516</v>
      </c>
      <c r="Q61">
        <v>1</v>
      </c>
      <c r="W61">
        <v>0</v>
      </c>
      <c r="X61">
        <v>1707446855</v>
      </c>
      <c r="Y61">
        <v>1.8559999999999999</v>
      </c>
      <c r="AA61">
        <v>0</v>
      </c>
      <c r="AB61">
        <v>790.91</v>
      </c>
      <c r="AC61">
        <v>252.65</v>
      </c>
      <c r="AD61">
        <v>0</v>
      </c>
      <c r="AE61">
        <v>0</v>
      </c>
      <c r="AF61">
        <v>101.79</v>
      </c>
      <c r="AG61">
        <v>12.1</v>
      </c>
      <c r="AH61">
        <v>0</v>
      </c>
      <c r="AI61">
        <v>1</v>
      </c>
      <c r="AJ61">
        <v>7.77</v>
      </c>
      <c r="AK61">
        <v>20.88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S61" t="s">
        <v>3</v>
      </c>
      <c r="AT61">
        <v>4.6399999999999997</v>
      </c>
      <c r="AU61" t="s">
        <v>100</v>
      </c>
      <c r="AV61">
        <v>0</v>
      </c>
      <c r="AW61">
        <v>2</v>
      </c>
      <c r="AX61">
        <v>48370745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0.11135999999999999</v>
      </c>
      <c r="CY61">
        <f>AB61</f>
        <v>790.91</v>
      </c>
      <c r="CZ61">
        <f>AF61</f>
        <v>101.79</v>
      </c>
      <c r="DA61">
        <f>AJ61</f>
        <v>7.77</v>
      </c>
      <c r="DB61">
        <v>0</v>
      </c>
    </row>
    <row r="62" spans="1:106">
      <c r="A62">
        <f>ROW(Source!A40)</f>
        <v>40</v>
      </c>
      <c r="B62">
        <v>48370320</v>
      </c>
      <c r="C62">
        <v>48370723</v>
      </c>
      <c r="D62">
        <v>37804456</v>
      </c>
      <c r="E62">
        <v>1</v>
      </c>
      <c r="F62">
        <v>1</v>
      </c>
      <c r="G62">
        <v>1</v>
      </c>
      <c r="H62">
        <v>2</v>
      </c>
      <c r="I62" t="s">
        <v>530</v>
      </c>
      <c r="J62" t="s">
        <v>531</v>
      </c>
      <c r="K62" t="s">
        <v>532</v>
      </c>
      <c r="L62">
        <v>1368</v>
      </c>
      <c r="N62">
        <v>1011</v>
      </c>
      <c r="O62" t="s">
        <v>516</v>
      </c>
      <c r="P62" t="s">
        <v>516</v>
      </c>
      <c r="Q62">
        <v>1</v>
      </c>
      <c r="W62">
        <v>0</v>
      </c>
      <c r="X62">
        <v>-671646184</v>
      </c>
      <c r="Y62">
        <v>8.8000000000000009E-2</v>
      </c>
      <c r="AA62">
        <v>0</v>
      </c>
      <c r="AB62">
        <v>844.19</v>
      </c>
      <c r="AC62">
        <v>216.11</v>
      </c>
      <c r="AD62">
        <v>0</v>
      </c>
      <c r="AE62">
        <v>0</v>
      </c>
      <c r="AF62">
        <v>91.76</v>
      </c>
      <c r="AG62">
        <v>10.35</v>
      </c>
      <c r="AH62">
        <v>0</v>
      </c>
      <c r="AI62">
        <v>1</v>
      </c>
      <c r="AJ62">
        <v>9.1999999999999993</v>
      </c>
      <c r="AK62">
        <v>20.88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S62" t="s">
        <v>3</v>
      </c>
      <c r="AT62">
        <v>0.22</v>
      </c>
      <c r="AU62" t="s">
        <v>100</v>
      </c>
      <c r="AV62">
        <v>0</v>
      </c>
      <c r="AW62">
        <v>2</v>
      </c>
      <c r="AX62">
        <v>48370746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5.28E-3</v>
      </c>
      <c r="CY62">
        <f>AB62</f>
        <v>844.19</v>
      </c>
      <c r="CZ62">
        <f>AF62</f>
        <v>91.76</v>
      </c>
      <c r="DA62">
        <f>AJ62</f>
        <v>9.1999999999999993</v>
      </c>
      <c r="DB62">
        <v>0</v>
      </c>
    </row>
    <row r="63" spans="1:106">
      <c r="A63">
        <f>ROW(Source!A40)</f>
        <v>40</v>
      </c>
      <c r="B63">
        <v>48370320</v>
      </c>
      <c r="C63">
        <v>48370723</v>
      </c>
      <c r="D63">
        <v>37737020</v>
      </c>
      <c r="E63">
        <v>1</v>
      </c>
      <c r="F63">
        <v>1</v>
      </c>
      <c r="G63">
        <v>1</v>
      </c>
      <c r="H63">
        <v>3</v>
      </c>
      <c r="I63" t="s">
        <v>592</v>
      </c>
      <c r="J63" t="s">
        <v>593</v>
      </c>
      <c r="K63" t="s">
        <v>594</v>
      </c>
      <c r="L63">
        <v>1348</v>
      </c>
      <c r="N63">
        <v>1009</v>
      </c>
      <c r="O63" t="s">
        <v>536</v>
      </c>
      <c r="P63" t="s">
        <v>536</v>
      </c>
      <c r="Q63">
        <v>1000</v>
      </c>
      <c r="W63">
        <v>0</v>
      </c>
      <c r="X63">
        <v>-821544112</v>
      </c>
      <c r="Y63">
        <v>0</v>
      </c>
      <c r="AA63">
        <v>74215.820000000007</v>
      </c>
      <c r="AB63">
        <v>0</v>
      </c>
      <c r="AC63">
        <v>0</v>
      </c>
      <c r="AD63">
        <v>0</v>
      </c>
      <c r="AE63">
        <v>22558</v>
      </c>
      <c r="AF63">
        <v>0</v>
      </c>
      <c r="AG63">
        <v>0</v>
      </c>
      <c r="AH63">
        <v>0</v>
      </c>
      <c r="AI63">
        <v>3.29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S63" t="s">
        <v>3</v>
      </c>
      <c r="AT63">
        <v>5.1000000000000004E-4</v>
      </c>
      <c r="AU63" t="s">
        <v>99</v>
      </c>
      <c r="AV63">
        <v>0</v>
      </c>
      <c r="AW63">
        <v>2</v>
      </c>
      <c r="AX63">
        <v>48370747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Y63*Source!I40</f>
        <v>0</v>
      </c>
      <c r="CY63">
        <f t="shared" ref="CY63:CY73" si="0">AA63</f>
        <v>74215.820000000007</v>
      </c>
      <c r="CZ63">
        <f t="shared" ref="CZ63:CZ73" si="1">AE63</f>
        <v>22558</v>
      </c>
      <c r="DA63">
        <f t="shared" ref="DA63:DA73" si="2">AI63</f>
        <v>3.29</v>
      </c>
      <c r="DB63">
        <v>0</v>
      </c>
    </row>
    <row r="64" spans="1:106">
      <c r="A64">
        <f>ROW(Source!A40)</f>
        <v>40</v>
      </c>
      <c r="B64">
        <v>48370320</v>
      </c>
      <c r="C64">
        <v>48370723</v>
      </c>
      <c r="D64">
        <v>37731563</v>
      </c>
      <c r="E64">
        <v>1</v>
      </c>
      <c r="F64">
        <v>1</v>
      </c>
      <c r="G64">
        <v>1</v>
      </c>
      <c r="H64">
        <v>3</v>
      </c>
      <c r="I64" t="s">
        <v>595</v>
      </c>
      <c r="J64" t="s">
        <v>596</v>
      </c>
      <c r="K64" t="s">
        <v>597</v>
      </c>
      <c r="L64">
        <v>1346</v>
      </c>
      <c r="N64">
        <v>1009</v>
      </c>
      <c r="O64" t="s">
        <v>172</v>
      </c>
      <c r="P64" t="s">
        <v>172</v>
      </c>
      <c r="Q64">
        <v>1</v>
      </c>
      <c r="W64">
        <v>0</v>
      </c>
      <c r="X64">
        <v>1449902051</v>
      </c>
      <c r="Y64">
        <v>0</v>
      </c>
      <c r="AA64">
        <v>139.15</v>
      </c>
      <c r="AB64">
        <v>0</v>
      </c>
      <c r="AC64">
        <v>0</v>
      </c>
      <c r="AD64">
        <v>0</v>
      </c>
      <c r="AE64">
        <v>28.93</v>
      </c>
      <c r="AF64">
        <v>0</v>
      </c>
      <c r="AG64">
        <v>0</v>
      </c>
      <c r="AH64">
        <v>0</v>
      </c>
      <c r="AI64">
        <v>4.8099999999999996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S64" t="s">
        <v>3</v>
      </c>
      <c r="AT64">
        <v>0.17</v>
      </c>
      <c r="AU64" t="s">
        <v>99</v>
      </c>
      <c r="AV64">
        <v>0</v>
      </c>
      <c r="AW64">
        <v>2</v>
      </c>
      <c r="AX64">
        <v>48370748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Y64*Source!I40</f>
        <v>0</v>
      </c>
      <c r="CY64">
        <f t="shared" si="0"/>
        <v>139.15</v>
      </c>
      <c r="CZ64">
        <f t="shared" si="1"/>
        <v>28.93</v>
      </c>
      <c r="DA64">
        <f t="shared" si="2"/>
        <v>4.8099999999999996</v>
      </c>
      <c r="DB64">
        <v>0</v>
      </c>
    </row>
    <row r="65" spans="1:106">
      <c r="A65">
        <f>ROW(Source!A40)</f>
        <v>40</v>
      </c>
      <c r="B65">
        <v>48370320</v>
      </c>
      <c r="C65">
        <v>48370723</v>
      </c>
      <c r="D65">
        <v>37730101</v>
      </c>
      <c r="E65">
        <v>1</v>
      </c>
      <c r="F65">
        <v>1</v>
      </c>
      <c r="G65">
        <v>1</v>
      </c>
      <c r="H65">
        <v>3</v>
      </c>
      <c r="I65" t="s">
        <v>598</v>
      </c>
      <c r="J65" t="s">
        <v>599</v>
      </c>
      <c r="K65" t="s">
        <v>600</v>
      </c>
      <c r="L65">
        <v>1356</v>
      </c>
      <c r="N65">
        <v>1010</v>
      </c>
      <c r="O65" t="s">
        <v>547</v>
      </c>
      <c r="P65" t="s">
        <v>547</v>
      </c>
      <c r="Q65">
        <v>1000</v>
      </c>
      <c r="W65">
        <v>0</v>
      </c>
      <c r="X65">
        <v>1733417419</v>
      </c>
      <c r="Y65">
        <v>0</v>
      </c>
      <c r="AA65">
        <v>2243.59</v>
      </c>
      <c r="AB65">
        <v>0</v>
      </c>
      <c r="AC65">
        <v>0</v>
      </c>
      <c r="AD65">
        <v>0</v>
      </c>
      <c r="AE65">
        <v>253.8</v>
      </c>
      <c r="AF65">
        <v>0</v>
      </c>
      <c r="AG65">
        <v>0</v>
      </c>
      <c r="AH65">
        <v>0</v>
      </c>
      <c r="AI65">
        <v>8.84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S65" t="s">
        <v>3</v>
      </c>
      <c r="AT65">
        <v>0.06</v>
      </c>
      <c r="AU65" t="s">
        <v>99</v>
      </c>
      <c r="AV65">
        <v>0</v>
      </c>
      <c r="AW65">
        <v>2</v>
      </c>
      <c r="AX65">
        <v>48370749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Y65*Source!I40</f>
        <v>0</v>
      </c>
      <c r="CY65">
        <f t="shared" si="0"/>
        <v>2243.59</v>
      </c>
      <c r="CZ65">
        <f t="shared" si="1"/>
        <v>253.8</v>
      </c>
      <c r="DA65">
        <f t="shared" si="2"/>
        <v>8.84</v>
      </c>
      <c r="DB65">
        <v>0</v>
      </c>
    </row>
    <row r="66" spans="1:106">
      <c r="A66">
        <f>ROW(Source!A40)</f>
        <v>40</v>
      </c>
      <c r="B66">
        <v>48370320</v>
      </c>
      <c r="C66">
        <v>48370723</v>
      </c>
      <c r="D66">
        <v>37735344</v>
      </c>
      <c r="E66">
        <v>1</v>
      </c>
      <c r="F66">
        <v>1</v>
      </c>
      <c r="G66">
        <v>1</v>
      </c>
      <c r="H66">
        <v>3</v>
      </c>
      <c r="I66" t="s">
        <v>601</v>
      </c>
      <c r="J66" t="s">
        <v>602</v>
      </c>
      <c r="K66" t="s">
        <v>603</v>
      </c>
      <c r="L66">
        <v>1346</v>
      </c>
      <c r="N66">
        <v>1009</v>
      </c>
      <c r="O66" t="s">
        <v>172</v>
      </c>
      <c r="P66" t="s">
        <v>172</v>
      </c>
      <c r="Q66">
        <v>1</v>
      </c>
      <c r="W66">
        <v>0</v>
      </c>
      <c r="X66">
        <v>-84482358</v>
      </c>
      <c r="Y66">
        <v>0</v>
      </c>
      <c r="AA66">
        <v>76.900000000000006</v>
      </c>
      <c r="AB66">
        <v>0</v>
      </c>
      <c r="AC66">
        <v>0</v>
      </c>
      <c r="AD66">
        <v>0</v>
      </c>
      <c r="AE66">
        <v>25.38</v>
      </c>
      <c r="AF66">
        <v>0</v>
      </c>
      <c r="AG66">
        <v>0</v>
      </c>
      <c r="AH66">
        <v>0</v>
      </c>
      <c r="AI66">
        <v>3.03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S66" t="s">
        <v>3</v>
      </c>
      <c r="AT66">
        <v>0.33</v>
      </c>
      <c r="AU66" t="s">
        <v>99</v>
      </c>
      <c r="AV66">
        <v>0</v>
      </c>
      <c r="AW66">
        <v>2</v>
      </c>
      <c r="AX66">
        <v>48370750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Y66*Source!I40</f>
        <v>0</v>
      </c>
      <c r="CY66">
        <f t="shared" si="0"/>
        <v>76.900000000000006</v>
      </c>
      <c r="CZ66">
        <f t="shared" si="1"/>
        <v>25.38</v>
      </c>
      <c r="DA66">
        <f t="shared" si="2"/>
        <v>3.03</v>
      </c>
      <c r="DB66">
        <v>0</v>
      </c>
    </row>
    <row r="67" spans="1:106">
      <c r="A67">
        <f>ROW(Source!A40)</f>
        <v>40</v>
      </c>
      <c r="B67">
        <v>48370320</v>
      </c>
      <c r="C67">
        <v>48370723</v>
      </c>
      <c r="D67">
        <v>37740609</v>
      </c>
      <c r="E67">
        <v>1</v>
      </c>
      <c r="F67">
        <v>1</v>
      </c>
      <c r="G67">
        <v>1</v>
      </c>
      <c r="H67">
        <v>3</v>
      </c>
      <c r="I67" t="s">
        <v>604</v>
      </c>
      <c r="J67" t="s">
        <v>605</v>
      </c>
      <c r="K67" t="s">
        <v>606</v>
      </c>
      <c r="L67">
        <v>1354</v>
      </c>
      <c r="N67">
        <v>1010</v>
      </c>
      <c r="O67" t="s">
        <v>220</v>
      </c>
      <c r="P67" t="s">
        <v>220</v>
      </c>
      <c r="Q67">
        <v>1</v>
      </c>
      <c r="W67">
        <v>0</v>
      </c>
      <c r="X67">
        <v>1385994572</v>
      </c>
      <c r="Y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1</v>
      </c>
      <c r="AO67">
        <v>0</v>
      </c>
      <c r="AP67">
        <v>1</v>
      </c>
      <c r="AQ67">
        <v>0</v>
      </c>
      <c r="AR67">
        <v>0</v>
      </c>
      <c r="AS67" t="s">
        <v>3</v>
      </c>
      <c r="AT67">
        <v>0</v>
      </c>
      <c r="AU67" t="s">
        <v>99</v>
      </c>
      <c r="AV67">
        <v>0</v>
      </c>
      <c r="AW67">
        <v>2</v>
      </c>
      <c r="AX67">
        <v>48370751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Y67*Source!I40</f>
        <v>0</v>
      </c>
      <c r="CY67">
        <f t="shared" si="0"/>
        <v>0</v>
      </c>
      <c r="CZ67">
        <f t="shared" si="1"/>
        <v>0</v>
      </c>
      <c r="DA67">
        <f t="shared" si="2"/>
        <v>1</v>
      </c>
      <c r="DB67">
        <v>0</v>
      </c>
    </row>
    <row r="68" spans="1:106">
      <c r="A68">
        <f>ROW(Source!A40)</f>
        <v>40</v>
      </c>
      <c r="B68">
        <v>48370320</v>
      </c>
      <c r="C68">
        <v>48370723</v>
      </c>
      <c r="D68">
        <v>37745103</v>
      </c>
      <c r="E68">
        <v>1</v>
      </c>
      <c r="F68">
        <v>1</v>
      </c>
      <c r="G68">
        <v>1</v>
      </c>
      <c r="H68">
        <v>3</v>
      </c>
      <c r="I68" t="s">
        <v>607</v>
      </c>
      <c r="J68" t="s">
        <v>608</v>
      </c>
      <c r="K68" t="s">
        <v>609</v>
      </c>
      <c r="L68">
        <v>1346</v>
      </c>
      <c r="N68">
        <v>1009</v>
      </c>
      <c r="O68" t="s">
        <v>172</v>
      </c>
      <c r="P68" t="s">
        <v>172</v>
      </c>
      <c r="Q68">
        <v>1</v>
      </c>
      <c r="W68">
        <v>0</v>
      </c>
      <c r="X68">
        <v>-1525317035</v>
      </c>
      <c r="Y68">
        <v>0</v>
      </c>
      <c r="AA68">
        <v>52.9</v>
      </c>
      <c r="AB68">
        <v>0</v>
      </c>
      <c r="AC68">
        <v>0</v>
      </c>
      <c r="AD68">
        <v>0</v>
      </c>
      <c r="AE68">
        <v>12.05</v>
      </c>
      <c r="AF68">
        <v>0</v>
      </c>
      <c r="AG68">
        <v>0</v>
      </c>
      <c r="AH68">
        <v>0</v>
      </c>
      <c r="AI68">
        <v>4.3899999999999997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S68" t="s">
        <v>3</v>
      </c>
      <c r="AT68">
        <v>0.2</v>
      </c>
      <c r="AU68" t="s">
        <v>99</v>
      </c>
      <c r="AV68">
        <v>0</v>
      </c>
      <c r="AW68">
        <v>2</v>
      </c>
      <c r="AX68">
        <v>48370752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Y68*Source!I40</f>
        <v>0</v>
      </c>
      <c r="CY68">
        <f t="shared" si="0"/>
        <v>52.9</v>
      </c>
      <c r="CZ68">
        <f t="shared" si="1"/>
        <v>12.05</v>
      </c>
      <c r="DA68">
        <f t="shared" si="2"/>
        <v>4.3899999999999997</v>
      </c>
      <c r="DB68">
        <v>0</v>
      </c>
    </row>
    <row r="69" spans="1:106">
      <c r="A69">
        <f>ROW(Source!A40)</f>
        <v>40</v>
      </c>
      <c r="B69">
        <v>48370320</v>
      </c>
      <c r="C69">
        <v>48370723</v>
      </c>
      <c r="D69">
        <v>37762030</v>
      </c>
      <c r="E69">
        <v>1</v>
      </c>
      <c r="F69">
        <v>1</v>
      </c>
      <c r="G69">
        <v>1</v>
      </c>
      <c r="H69">
        <v>3</v>
      </c>
      <c r="I69" t="s">
        <v>577</v>
      </c>
      <c r="J69" t="s">
        <v>578</v>
      </c>
      <c r="K69" t="s">
        <v>579</v>
      </c>
      <c r="L69">
        <v>1346</v>
      </c>
      <c r="N69">
        <v>1009</v>
      </c>
      <c r="O69" t="s">
        <v>172</v>
      </c>
      <c r="P69" t="s">
        <v>172</v>
      </c>
      <c r="Q69">
        <v>1</v>
      </c>
      <c r="W69">
        <v>0</v>
      </c>
      <c r="X69">
        <v>677759854</v>
      </c>
      <c r="Y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1</v>
      </c>
      <c r="AO69">
        <v>0</v>
      </c>
      <c r="AP69">
        <v>1</v>
      </c>
      <c r="AQ69">
        <v>0</v>
      </c>
      <c r="AR69">
        <v>0</v>
      </c>
      <c r="AS69" t="s">
        <v>3</v>
      </c>
      <c r="AT69">
        <v>0</v>
      </c>
      <c r="AU69" t="s">
        <v>99</v>
      </c>
      <c r="AV69">
        <v>0</v>
      </c>
      <c r="AW69">
        <v>2</v>
      </c>
      <c r="AX69">
        <v>48370753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Y69*Source!I40</f>
        <v>0</v>
      </c>
      <c r="CY69">
        <f t="shared" si="0"/>
        <v>0</v>
      </c>
      <c r="CZ69">
        <f t="shared" si="1"/>
        <v>0</v>
      </c>
      <c r="DA69">
        <f t="shared" si="2"/>
        <v>1</v>
      </c>
      <c r="DB69">
        <v>0</v>
      </c>
    </row>
    <row r="70" spans="1:106">
      <c r="A70">
        <f>ROW(Source!A40)</f>
        <v>40</v>
      </c>
      <c r="B70">
        <v>48370320</v>
      </c>
      <c r="C70">
        <v>48370723</v>
      </c>
      <c r="D70">
        <v>37766776</v>
      </c>
      <c r="E70">
        <v>1</v>
      </c>
      <c r="F70">
        <v>1</v>
      </c>
      <c r="G70">
        <v>1</v>
      </c>
      <c r="H70">
        <v>3</v>
      </c>
      <c r="I70" t="s">
        <v>610</v>
      </c>
      <c r="J70" t="s">
        <v>611</v>
      </c>
      <c r="K70" t="s">
        <v>612</v>
      </c>
      <c r="L70">
        <v>1354</v>
      </c>
      <c r="N70">
        <v>1010</v>
      </c>
      <c r="O70" t="s">
        <v>220</v>
      </c>
      <c r="P70" t="s">
        <v>220</v>
      </c>
      <c r="Q70">
        <v>1</v>
      </c>
      <c r="W70">
        <v>0</v>
      </c>
      <c r="X70">
        <v>1623346127</v>
      </c>
      <c r="Y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1</v>
      </c>
      <c r="AO70">
        <v>0</v>
      </c>
      <c r="AP70">
        <v>1</v>
      </c>
      <c r="AQ70">
        <v>0</v>
      </c>
      <c r="AR70">
        <v>0</v>
      </c>
      <c r="AS70" t="s">
        <v>3</v>
      </c>
      <c r="AT70">
        <v>0</v>
      </c>
      <c r="AU70" t="s">
        <v>99</v>
      </c>
      <c r="AV70">
        <v>0</v>
      </c>
      <c r="AW70">
        <v>2</v>
      </c>
      <c r="AX70">
        <v>48370754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Y70*Source!I40</f>
        <v>0</v>
      </c>
      <c r="CY70">
        <f t="shared" si="0"/>
        <v>0</v>
      </c>
      <c r="CZ70">
        <f t="shared" si="1"/>
        <v>0</v>
      </c>
      <c r="DA70">
        <f t="shared" si="2"/>
        <v>1</v>
      </c>
      <c r="DB70">
        <v>0</v>
      </c>
    </row>
    <row r="71" spans="1:106">
      <c r="A71">
        <f>ROW(Source!A40)</f>
        <v>40</v>
      </c>
      <c r="B71">
        <v>48370320</v>
      </c>
      <c r="C71">
        <v>48370723</v>
      </c>
      <c r="D71">
        <v>37777058</v>
      </c>
      <c r="E71">
        <v>1</v>
      </c>
      <c r="F71">
        <v>1</v>
      </c>
      <c r="G71">
        <v>1</v>
      </c>
      <c r="H71">
        <v>3</v>
      </c>
      <c r="I71" t="s">
        <v>613</v>
      </c>
      <c r="J71" t="s">
        <v>614</v>
      </c>
      <c r="K71" t="s">
        <v>615</v>
      </c>
      <c r="L71">
        <v>1346</v>
      </c>
      <c r="N71">
        <v>1009</v>
      </c>
      <c r="O71" t="s">
        <v>172</v>
      </c>
      <c r="P71" t="s">
        <v>172</v>
      </c>
      <c r="Q71">
        <v>1</v>
      </c>
      <c r="W71">
        <v>0</v>
      </c>
      <c r="X71">
        <v>-1262037915</v>
      </c>
      <c r="Y71">
        <v>0</v>
      </c>
      <c r="AA71">
        <v>9.9499999999999993</v>
      </c>
      <c r="AB71">
        <v>0</v>
      </c>
      <c r="AC71">
        <v>0</v>
      </c>
      <c r="AD71">
        <v>0</v>
      </c>
      <c r="AE71">
        <v>1.42</v>
      </c>
      <c r="AF71">
        <v>0</v>
      </c>
      <c r="AG71">
        <v>0</v>
      </c>
      <c r="AH71">
        <v>0</v>
      </c>
      <c r="AI71">
        <v>7.01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S71" t="s">
        <v>3</v>
      </c>
      <c r="AT71">
        <v>4.0000000000000001E-3</v>
      </c>
      <c r="AU71" t="s">
        <v>99</v>
      </c>
      <c r="AV71">
        <v>0</v>
      </c>
      <c r="AW71">
        <v>2</v>
      </c>
      <c r="AX71">
        <v>48370755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Y71*Source!I40</f>
        <v>0</v>
      </c>
      <c r="CY71">
        <f t="shared" si="0"/>
        <v>9.9499999999999993</v>
      </c>
      <c r="CZ71">
        <f t="shared" si="1"/>
        <v>1.42</v>
      </c>
      <c r="DA71">
        <f t="shared" si="2"/>
        <v>7.01</v>
      </c>
      <c r="DB71">
        <v>0</v>
      </c>
    </row>
    <row r="72" spans="1:106">
      <c r="A72">
        <f>ROW(Source!A40)</f>
        <v>40</v>
      </c>
      <c r="B72">
        <v>48370320</v>
      </c>
      <c r="C72">
        <v>48370723</v>
      </c>
      <c r="D72">
        <v>37777802</v>
      </c>
      <c r="E72">
        <v>1</v>
      </c>
      <c r="F72">
        <v>1</v>
      </c>
      <c r="G72">
        <v>1</v>
      </c>
      <c r="H72">
        <v>3</v>
      </c>
      <c r="I72" t="s">
        <v>616</v>
      </c>
      <c r="J72" t="s">
        <v>617</v>
      </c>
      <c r="K72" t="s">
        <v>618</v>
      </c>
      <c r="L72">
        <v>1339</v>
      </c>
      <c r="N72">
        <v>1007</v>
      </c>
      <c r="O72" t="s">
        <v>543</v>
      </c>
      <c r="P72" t="s">
        <v>543</v>
      </c>
      <c r="Q72">
        <v>1</v>
      </c>
      <c r="W72">
        <v>0</v>
      </c>
      <c r="X72">
        <v>-1418712732</v>
      </c>
      <c r="Y72">
        <v>0</v>
      </c>
      <c r="AA72">
        <v>45.55</v>
      </c>
      <c r="AB72">
        <v>0</v>
      </c>
      <c r="AC72">
        <v>0</v>
      </c>
      <c r="AD72">
        <v>0</v>
      </c>
      <c r="AE72">
        <v>2.4700000000000002</v>
      </c>
      <c r="AF72">
        <v>0</v>
      </c>
      <c r="AG72">
        <v>0</v>
      </c>
      <c r="AH72">
        <v>0</v>
      </c>
      <c r="AI72">
        <v>18.440000000000001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S72" t="s">
        <v>3</v>
      </c>
      <c r="AT72">
        <v>1.21</v>
      </c>
      <c r="AU72" t="s">
        <v>99</v>
      </c>
      <c r="AV72">
        <v>0</v>
      </c>
      <c r="AW72">
        <v>2</v>
      </c>
      <c r="AX72">
        <v>48370756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Y72*Source!I40</f>
        <v>0</v>
      </c>
      <c r="CY72">
        <f t="shared" si="0"/>
        <v>45.55</v>
      </c>
      <c r="CZ72">
        <f t="shared" si="1"/>
        <v>2.4700000000000002</v>
      </c>
      <c r="DA72">
        <f t="shared" si="2"/>
        <v>18.440000000000001</v>
      </c>
      <c r="DB72">
        <v>0</v>
      </c>
    </row>
    <row r="73" spans="1:106">
      <c r="A73">
        <f>ROW(Source!A40)</f>
        <v>40</v>
      </c>
      <c r="B73">
        <v>48370320</v>
      </c>
      <c r="C73">
        <v>48370723</v>
      </c>
      <c r="D73">
        <v>37786634</v>
      </c>
      <c r="E73">
        <v>1</v>
      </c>
      <c r="F73">
        <v>1</v>
      </c>
      <c r="G73">
        <v>1</v>
      </c>
      <c r="H73">
        <v>3</v>
      </c>
      <c r="I73" t="s">
        <v>619</v>
      </c>
      <c r="J73" t="s">
        <v>620</v>
      </c>
      <c r="K73" t="s">
        <v>621</v>
      </c>
      <c r="L73">
        <v>1302</v>
      </c>
      <c r="N73">
        <v>1003</v>
      </c>
      <c r="O73" t="s">
        <v>622</v>
      </c>
      <c r="P73" t="s">
        <v>622</v>
      </c>
      <c r="Q73">
        <v>10</v>
      </c>
      <c r="W73">
        <v>0</v>
      </c>
      <c r="X73">
        <v>-1663296845</v>
      </c>
      <c r="Y73">
        <v>0</v>
      </c>
      <c r="AA73">
        <v>250.66</v>
      </c>
      <c r="AB73">
        <v>0</v>
      </c>
      <c r="AC73">
        <v>0</v>
      </c>
      <c r="AD73">
        <v>0</v>
      </c>
      <c r="AE73">
        <v>74.599999999999994</v>
      </c>
      <c r="AF73">
        <v>0</v>
      </c>
      <c r="AG73">
        <v>0</v>
      </c>
      <c r="AH73">
        <v>0</v>
      </c>
      <c r="AI73">
        <v>3.36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3</v>
      </c>
      <c r="AT73">
        <v>9.3800000000000008</v>
      </c>
      <c r="AU73" t="s">
        <v>99</v>
      </c>
      <c r="AV73">
        <v>0</v>
      </c>
      <c r="AW73">
        <v>2</v>
      </c>
      <c r="AX73">
        <v>48370757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Y73*Source!I40</f>
        <v>0</v>
      </c>
      <c r="CY73">
        <f t="shared" si="0"/>
        <v>250.66</v>
      </c>
      <c r="CZ73">
        <f t="shared" si="1"/>
        <v>74.599999999999994</v>
      </c>
      <c r="DA73">
        <f t="shared" si="2"/>
        <v>3.36</v>
      </c>
      <c r="DB73">
        <v>0</v>
      </c>
    </row>
    <row r="74" spans="1:106">
      <c r="A74">
        <f>ROW(Source!A76)</f>
        <v>76</v>
      </c>
      <c r="B74">
        <v>48370320</v>
      </c>
      <c r="C74">
        <v>48370816</v>
      </c>
      <c r="D74">
        <v>23146426</v>
      </c>
      <c r="E74">
        <v>1</v>
      </c>
      <c r="F74">
        <v>1</v>
      </c>
      <c r="G74">
        <v>1</v>
      </c>
      <c r="H74">
        <v>1</v>
      </c>
      <c r="I74" t="s">
        <v>569</v>
      </c>
      <c r="J74" t="s">
        <v>3</v>
      </c>
      <c r="K74" t="s">
        <v>570</v>
      </c>
      <c r="L74">
        <v>1369</v>
      </c>
      <c r="N74">
        <v>1013</v>
      </c>
      <c r="O74" t="s">
        <v>510</v>
      </c>
      <c r="P74" t="s">
        <v>510</v>
      </c>
      <c r="Q74">
        <v>1</v>
      </c>
      <c r="W74">
        <v>0</v>
      </c>
      <c r="X74">
        <v>-348873804</v>
      </c>
      <c r="Y74">
        <v>140.07</v>
      </c>
      <c r="AA74">
        <v>0</v>
      </c>
      <c r="AB74">
        <v>0</v>
      </c>
      <c r="AC74">
        <v>0</v>
      </c>
      <c r="AD74">
        <v>9.27</v>
      </c>
      <c r="AE74">
        <v>0</v>
      </c>
      <c r="AF74">
        <v>0</v>
      </c>
      <c r="AG74">
        <v>0</v>
      </c>
      <c r="AH74">
        <v>9.27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S74" t="s">
        <v>3</v>
      </c>
      <c r="AT74">
        <v>121.8</v>
      </c>
      <c r="AU74" t="s">
        <v>161</v>
      </c>
      <c r="AV74">
        <v>1</v>
      </c>
      <c r="AW74">
        <v>2</v>
      </c>
      <c r="AX74">
        <v>48370834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Y74*Source!I76</f>
        <v>11.2056</v>
      </c>
      <c r="CY74">
        <f>AD74</f>
        <v>9.27</v>
      </c>
      <c r="CZ74">
        <f>AH74</f>
        <v>9.27</v>
      </c>
      <c r="DA74">
        <f>AL74</f>
        <v>1</v>
      </c>
      <c r="DB74">
        <v>0</v>
      </c>
    </row>
    <row r="75" spans="1:106">
      <c r="A75">
        <f>ROW(Source!A76)</f>
        <v>76</v>
      </c>
      <c r="B75">
        <v>48370320</v>
      </c>
      <c r="C75">
        <v>48370816</v>
      </c>
      <c r="D75">
        <v>121548</v>
      </c>
      <c r="E75">
        <v>1</v>
      </c>
      <c r="F75">
        <v>1</v>
      </c>
      <c r="G75">
        <v>1</v>
      </c>
      <c r="H75">
        <v>1</v>
      </c>
      <c r="I75" t="s">
        <v>24</v>
      </c>
      <c r="J75" t="s">
        <v>3</v>
      </c>
      <c r="K75" t="s">
        <v>511</v>
      </c>
      <c r="L75">
        <v>608254</v>
      </c>
      <c r="N75">
        <v>1013</v>
      </c>
      <c r="O75" t="s">
        <v>512</v>
      </c>
      <c r="P75" t="s">
        <v>512</v>
      </c>
      <c r="Q75">
        <v>1</v>
      </c>
      <c r="W75">
        <v>0</v>
      </c>
      <c r="X75">
        <v>-185737400</v>
      </c>
      <c r="Y75">
        <v>5.8999999999999995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3</v>
      </c>
      <c r="AT75">
        <v>4.72</v>
      </c>
      <c r="AU75" t="s">
        <v>160</v>
      </c>
      <c r="AV75">
        <v>2</v>
      </c>
      <c r="AW75">
        <v>2</v>
      </c>
      <c r="AX75">
        <v>48370835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Y75*Source!I76</f>
        <v>0.47199999999999998</v>
      </c>
      <c r="CY75">
        <f>AD75</f>
        <v>0</v>
      </c>
      <c r="CZ75">
        <f>AH75</f>
        <v>0</v>
      </c>
      <c r="DA75">
        <f>AL75</f>
        <v>1</v>
      </c>
      <c r="DB75">
        <v>0</v>
      </c>
    </row>
    <row r="76" spans="1:106">
      <c r="A76">
        <f>ROW(Source!A76)</f>
        <v>76</v>
      </c>
      <c r="B76">
        <v>48370320</v>
      </c>
      <c r="C76">
        <v>48370816</v>
      </c>
      <c r="D76">
        <v>37802359</v>
      </c>
      <c r="E76">
        <v>1</v>
      </c>
      <c r="F76">
        <v>1</v>
      </c>
      <c r="G76">
        <v>1</v>
      </c>
      <c r="H76">
        <v>2</v>
      </c>
      <c r="I76" t="s">
        <v>583</v>
      </c>
      <c r="J76" t="s">
        <v>584</v>
      </c>
      <c r="K76" t="s">
        <v>585</v>
      </c>
      <c r="L76">
        <v>1368</v>
      </c>
      <c r="N76">
        <v>1011</v>
      </c>
      <c r="O76" t="s">
        <v>516</v>
      </c>
      <c r="P76" t="s">
        <v>516</v>
      </c>
      <c r="Q76">
        <v>1</v>
      </c>
      <c r="W76">
        <v>0</v>
      </c>
      <c r="X76">
        <v>1604115853</v>
      </c>
      <c r="Y76">
        <v>6.25E-2</v>
      </c>
      <c r="AA76">
        <v>0</v>
      </c>
      <c r="AB76">
        <v>718.22</v>
      </c>
      <c r="AC76">
        <v>252.65</v>
      </c>
      <c r="AD76">
        <v>0</v>
      </c>
      <c r="AE76">
        <v>0</v>
      </c>
      <c r="AF76">
        <v>103.49</v>
      </c>
      <c r="AG76">
        <v>12.1</v>
      </c>
      <c r="AH76">
        <v>0</v>
      </c>
      <c r="AI76">
        <v>1</v>
      </c>
      <c r="AJ76">
        <v>6.94</v>
      </c>
      <c r="AK76">
        <v>20.88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S76" t="s">
        <v>3</v>
      </c>
      <c r="AT76">
        <v>0.05</v>
      </c>
      <c r="AU76" t="s">
        <v>160</v>
      </c>
      <c r="AV76">
        <v>0</v>
      </c>
      <c r="AW76">
        <v>2</v>
      </c>
      <c r="AX76">
        <v>48370836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Y76*Source!I76</f>
        <v>5.0000000000000001E-3</v>
      </c>
      <c r="CY76">
        <f>AB76</f>
        <v>718.22</v>
      </c>
      <c r="CZ76">
        <f>AF76</f>
        <v>103.49</v>
      </c>
      <c r="DA76">
        <f>AJ76</f>
        <v>6.94</v>
      </c>
      <c r="DB76">
        <v>0</v>
      </c>
    </row>
    <row r="77" spans="1:106">
      <c r="A77">
        <f>ROW(Source!A76)</f>
        <v>76</v>
      </c>
      <c r="B77">
        <v>48370320</v>
      </c>
      <c r="C77">
        <v>48370816</v>
      </c>
      <c r="D77">
        <v>37802443</v>
      </c>
      <c r="E77">
        <v>1</v>
      </c>
      <c r="F77">
        <v>1</v>
      </c>
      <c r="G77">
        <v>1</v>
      </c>
      <c r="H77">
        <v>2</v>
      </c>
      <c r="I77" t="s">
        <v>586</v>
      </c>
      <c r="J77" t="s">
        <v>587</v>
      </c>
      <c r="K77" t="s">
        <v>588</v>
      </c>
      <c r="L77">
        <v>1368</v>
      </c>
      <c r="N77">
        <v>1011</v>
      </c>
      <c r="O77" t="s">
        <v>516</v>
      </c>
      <c r="P77" t="s">
        <v>516</v>
      </c>
      <c r="Q77">
        <v>1</v>
      </c>
      <c r="W77">
        <v>0</v>
      </c>
      <c r="X77">
        <v>1447433125</v>
      </c>
      <c r="Y77">
        <v>3.7499999999999999E-2</v>
      </c>
      <c r="AA77">
        <v>0</v>
      </c>
      <c r="AB77">
        <v>981.95</v>
      </c>
      <c r="AC77">
        <v>252.65</v>
      </c>
      <c r="AD77">
        <v>0</v>
      </c>
      <c r="AE77">
        <v>0</v>
      </c>
      <c r="AF77">
        <v>124.14</v>
      </c>
      <c r="AG77">
        <v>12.1</v>
      </c>
      <c r="AH77">
        <v>0</v>
      </c>
      <c r="AI77">
        <v>1</v>
      </c>
      <c r="AJ77">
        <v>7.91</v>
      </c>
      <c r="AK77">
        <v>20.88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S77" t="s">
        <v>3</v>
      </c>
      <c r="AT77">
        <v>0.03</v>
      </c>
      <c r="AU77" t="s">
        <v>160</v>
      </c>
      <c r="AV77">
        <v>0</v>
      </c>
      <c r="AW77">
        <v>2</v>
      </c>
      <c r="AX77">
        <v>48370837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Y77*Source!I76</f>
        <v>3.0000000000000001E-3</v>
      </c>
      <c r="CY77">
        <f>AB77</f>
        <v>981.95</v>
      </c>
      <c r="CZ77">
        <f>AF77</f>
        <v>124.14</v>
      </c>
      <c r="DA77">
        <f>AJ77</f>
        <v>7.91</v>
      </c>
      <c r="DB77">
        <v>0</v>
      </c>
    </row>
    <row r="78" spans="1:106">
      <c r="A78">
        <f>ROW(Source!A76)</f>
        <v>76</v>
      </c>
      <c r="B78">
        <v>48370320</v>
      </c>
      <c r="C78">
        <v>48370816</v>
      </c>
      <c r="D78">
        <v>37802864</v>
      </c>
      <c r="E78">
        <v>1</v>
      </c>
      <c r="F78">
        <v>1</v>
      </c>
      <c r="G78">
        <v>1</v>
      </c>
      <c r="H78">
        <v>2</v>
      </c>
      <c r="I78" t="s">
        <v>589</v>
      </c>
      <c r="J78" t="s">
        <v>590</v>
      </c>
      <c r="K78" t="s">
        <v>591</v>
      </c>
      <c r="L78">
        <v>1368</v>
      </c>
      <c r="N78">
        <v>1011</v>
      </c>
      <c r="O78" t="s">
        <v>516</v>
      </c>
      <c r="P78" t="s">
        <v>516</v>
      </c>
      <c r="Q78">
        <v>1</v>
      </c>
      <c r="W78">
        <v>0</v>
      </c>
      <c r="X78">
        <v>1707446855</v>
      </c>
      <c r="Y78">
        <v>5.8</v>
      </c>
      <c r="AA78">
        <v>0</v>
      </c>
      <c r="AB78">
        <v>790.91</v>
      </c>
      <c r="AC78">
        <v>252.65</v>
      </c>
      <c r="AD78">
        <v>0</v>
      </c>
      <c r="AE78">
        <v>0</v>
      </c>
      <c r="AF78">
        <v>101.79</v>
      </c>
      <c r="AG78">
        <v>12.1</v>
      </c>
      <c r="AH78">
        <v>0</v>
      </c>
      <c r="AI78">
        <v>1</v>
      </c>
      <c r="AJ78">
        <v>7.77</v>
      </c>
      <c r="AK78">
        <v>20.88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S78" t="s">
        <v>3</v>
      </c>
      <c r="AT78">
        <v>4.6399999999999997</v>
      </c>
      <c r="AU78" t="s">
        <v>160</v>
      </c>
      <c r="AV78">
        <v>0</v>
      </c>
      <c r="AW78">
        <v>2</v>
      </c>
      <c r="AX78">
        <v>48370838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Y78*Source!I76</f>
        <v>0.46399999999999997</v>
      </c>
      <c r="CY78">
        <f>AB78</f>
        <v>790.91</v>
      </c>
      <c r="CZ78">
        <f>AF78</f>
        <v>101.79</v>
      </c>
      <c r="DA78">
        <f>AJ78</f>
        <v>7.77</v>
      </c>
      <c r="DB78">
        <v>0</v>
      </c>
    </row>
    <row r="79" spans="1:106">
      <c r="A79">
        <f>ROW(Source!A76)</f>
        <v>76</v>
      </c>
      <c r="B79">
        <v>48370320</v>
      </c>
      <c r="C79">
        <v>48370816</v>
      </c>
      <c r="D79">
        <v>37804456</v>
      </c>
      <c r="E79">
        <v>1</v>
      </c>
      <c r="F79">
        <v>1</v>
      </c>
      <c r="G79">
        <v>1</v>
      </c>
      <c r="H79">
        <v>2</v>
      </c>
      <c r="I79" t="s">
        <v>530</v>
      </c>
      <c r="J79" t="s">
        <v>531</v>
      </c>
      <c r="K79" t="s">
        <v>532</v>
      </c>
      <c r="L79">
        <v>1368</v>
      </c>
      <c r="N79">
        <v>1011</v>
      </c>
      <c r="O79" t="s">
        <v>516</v>
      </c>
      <c r="P79" t="s">
        <v>516</v>
      </c>
      <c r="Q79">
        <v>1</v>
      </c>
      <c r="W79">
        <v>0</v>
      </c>
      <c r="X79">
        <v>-671646184</v>
      </c>
      <c r="Y79">
        <v>0.27500000000000002</v>
      </c>
      <c r="AA79">
        <v>0</v>
      </c>
      <c r="AB79">
        <v>844.19</v>
      </c>
      <c r="AC79">
        <v>216.11</v>
      </c>
      <c r="AD79">
        <v>0</v>
      </c>
      <c r="AE79">
        <v>0</v>
      </c>
      <c r="AF79">
        <v>91.76</v>
      </c>
      <c r="AG79">
        <v>10.35</v>
      </c>
      <c r="AH79">
        <v>0</v>
      </c>
      <c r="AI79">
        <v>1</v>
      </c>
      <c r="AJ79">
        <v>9.1999999999999993</v>
      </c>
      <c r="AK79">
        <v>20.88</v>
      </c>
      <c r="AL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S79" t="s">
        <v>3</v>
      </c>
      <c r="AT79">
        <v>0.22</v>
      </c>
      <c r="AU79" t="s">
        <v>160</v>
      </c>
      <c r="AV79">
        <v>0</v>
      </c>
      <c r="AW79">
        <v>2</v>
      </c>
      <c r="AX79">
        <v>48370839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Y79*Source!I76</f>
        <v>2.2000000000000002E-2</v>
      </c>
      <c r="CY79">
        <f>AB79</f>
        <v>844.19</v>
      </c>
      <c r="CZ79">
        <f>AF79</f>
        <v>91.76</v>
      </c>
      <c r="DA79">
        <f>AJ79</f>
        <v>9.1999999999999993</v>
      </c>
      <c r="DB79">
        <v>0</v>
      </c>
    </row>
    <row r="80" spans="1:106">
      <c r="A80">
        <f>ROW(Source!A76)</f>
        <v>76</v>
      </c>
      <c r="B80">
        <v>48370320</v>
      </c>
      <c r="C80">
        <v>48370816</v>
      </c>
      <c r="D80">
        <v>37737020</v>
      </c>
      <c r="E80">
        <v>1</v>
      </c>
      <c r="F80">
        <v>1</v>
      </c>
      <c r="G80">
        <v>1</v>
      </c>
      <c r="H80">
        <v>3</v>
      </c>
      <c r="I80" t="s">
        <v>592</v>
      </c>
      <c r="J80" t="s">
        <v>593</v>
      </c>
      <c r="K80" t="s">
        <v>594</v>
      </c>
      <c r="L80">
        <v>1348</v>
      </c>
      <c r="N80">
        <v>1009</v>
      </c>
      <c r="O80" t="s">
        <v>536</v>
      </c>
      <c r="P80" t="s">
        <v>536</v>
      </c>
      <c r="Q80">
        <v>1000</v>
      </c>
      <c r="W80">
        <v>0</v>
      </c>
      <c r="X80">
        <v>-821544112</v>
      </c>
      <c r="Y80">
        <v>5.1000000000000004E-4</v>
      </c>
      <c r="AA80">
        <v>74215.820000000007</v>
      </c>
      <c r="AB80">
        <v>0</v>
      </c>
      <c r="AC80">
        <v>0</v>
      </c>
      <c r="AD80">
        <v>0</v>
      </c>
      <c r="AE80">
        <v>22558</v>
      </c>
      <c r="AF80">
        <v>0</v>
      </c>
      <c r="AG80">
        <v>0</v>
      </c>
      <c r="AH80">
        <v>0</v>
      </c>
      <c r="AI80">
        <v>3.29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5.1000000000000004E-4</v>
      </c>
      <c r="AU80" t="s">
        <v>3</v>
      </c>
      <c r="AV80">
        <v>0</v>
      </c>
      <c r="AW80">
        <v>2</v>
      </c>
      <c r="AX80">
        <v>48370840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Y80*Source!I76</f>
        <v>4.0800000000000002E-5</v>
      </c>
      <c r="CY80">
        <f t="shared" ref="CY80:CY90" si="3">AA80</f>
        <v>74215.820000000007</v>
      </c>
      <c r="CZ80">
        <f t="shared" ref="CZ80:CZ90" si="4">AE80</f>
        <v>22558</v>
      </c>
      <c r="DA80">
        <f t="shared" ref="DA80:DA90" si="5">AI80</f>
        <v>3.29</v>
      </c>
      <c r="DB80">
        <v>0</v>
      </c>
    </row>
    <row r="81" spans="1:106">
      <c r="A81">
        <f>ROW(Source!A76)</f>
        <v>76</v>
      </c>
      <c r="B81">
        <v>48370320</v>
      </c>
      <c r="C81">
        <v>48370816</v>
      </c>
      <c r="D81">
        <v>37731563</v>
      </c>
      <c r="E81">
        <v>1</v>
      </c>
      <c r="F81">
        <v>1</v>
      </c>
      <c r="G81">
        <v>1</v>
      </c>
      <c r="H81">
        <v>3</v>
      </c>
      <c r="I81" t="s">
        <v>595</v>
      </c>
      <c r="J81" t="s">
        <v>596</v>
      </c>
      <c r="K81" t="s">
        <v>597</v>
      </c>
      <c r="L81">
        <v>1346</v>
      </c>
      <c r="N81">
        <v>1009</v>
      </c>
      <c r="O81" t="s">
        <v>172</v>
      </c>
      <c r="P81" t="s">
        <v>172</v>
      </c>
      <c r="Q81">
        <v>1</v>
      </c>
      <c r="W81">
        <v>0</v>
      </c>
      <c r="X81">
        <v>1449902051</v>
      </c>
      <c r="Y81">
        <v>0.17</v>
      </c>
      <c r="AA81">
        <v>139.15</v>
      </c>
      <c r="AB81">
        <v>0</v>
      </c>
      <c r="AC81">
        <v>0</v>
      </c>
      <c r="AD81">
        <v>0</v>
      </c>
      <c r="AE81">
        <v>28.93</v>
      </c>
      <c r="AF81">
        <v>0</v>
      </c>
      <c r="AG81">
        <v>0</v>
      </c>
      <c r="AH81">
        <v>0</v>
      </c>
      <c r="AI81">
        <v>4.8099999999999996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0.17</v>
      </c>
      <c r="AU81" t="s">
        <v>3</v>
      </c>
      <c r="AV81">
        <v>0</v>
      </c>
      <c r="AW81">
        <v>2</v>
      </c>
      <c r="AX81">
        <v>48370841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Y81*Source!I76</f>
        <v>1.3600000000000001E-2</v>
      </c>
      <c r="CY81">
        <f t="shared" si="3"/>
        <v>139.15</v>
      </c>
      <c r="CZ81">
        <f t="shared" si="4"/>
        <v>28.93</v>
      </c>
      <c r="DA81">
        <f t="shared" si="5"/>
        <v>4.8099999999999996</v>
      </c>
      <c r="DB81">
        <v>0</v>
      </c>
    </row>
    <row r="82" spans="1:106">
      <c r="A82">
        <f>ROW(Source!A76)</f>
        <v>76</v>
      </c>
      <c r="B82">
        <v>48370320</v>
      </c>
      <c r="C82">
        <v>48370816</v>
      </c>
      <c r="D82">
        <v>37730101</v>
      </c>
      <c r="E82">
        <v>1</v>
      </c>
      <c r="F82">
        <v>1</v>
      </c>
      <c r="G82">
        <v>1</v>
      </c>
      <c r="H82">
        <v>3</v>
      </c>
      <c r="I82" t="s">
        <v>598</v>
      </c>
      <c r="J82" t="s">
        <v>599</v>
      </c>
      <c r="K82" t="s">
        <v>600</v>
      </c>
      <c r="L82">
        <v>1356</v>
      </c>
      <c r="N82">
        <v>1010</v>
      </c>
      <c r="O82" t="s">
        <v>547</v>
      </c>
      <c r="P82" t="s">
        <v>547</v>
      </c>
      <c r="Q82">
        <v>1000</v>
      </c>
      <c r="W82">
        <v>0</v>
      </c>
      <c r="X82">
        <v>1733417419</v>
      </c>
      <c r="Y82">
        <v>0.06</v>
      </c>
      <c r="AA82">
        <v>2243.59</v>
      </c>
      <c r="AB82">
        <v>0</v>
      </c>
      <c r="AC82">
        <v>0</v>
      </c>
      <c r="AD82">
        <v>0</v>
      </c>
      <c r="AE82">
        <v>253.8</v>
      </c>
      <c r="AF82">
        <v>0</v>
      </c>
      <c r="AG82">
        <v>0</v>
      </c>
      <c r="AH82">
        <v>0</v>
      </c>
      <c r="AI82">
        <v>8.84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0.06</v>
      </c>
      <c r="AU82" t="s">
        <v>3</v>
      </c>
      <c r="AV82">
        <v>0</v>
      </c>
      <c r="AW82">
        <v>2</v>
      </c>
      <c r="AX82">
        <v>48370842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Y82*Source!I76</f>
        <v>4.7999999999999996E-3</v>
      </c>
      <c r="CY82">
        <f t="shared" si="3"/>
        <v>2243.59</v>
      </c>
      <c r="CZ82">
        <f t="shared" si="4"/>
        <v>253.8</v>
      </c>
      <c r="DA82">
        <f t="shared" si="5"/>
        <v>8.84</v>
      </c>
      <c r="DB82">
        <v>0</v>
      </c>
    </row>
    <row r="83" spans="1:106">
      <c r="A83">
        <f>ROW(Source!A76)</f>
        <v>76</v>
      </c>
      <c r="B83">
        <v>48370320</v>
      </c>
      <c r="C83">
        <v>48370816</v>
      </c>
      <c r="D83">
        <v>37735344</v>
      </c>
      <c r="E83">
        <v>1</v>
      </c>
      <c r="F83">
        <v>1</v>
      </c>
      <c r="G83">
        <v>1</v>
      </c>
      <c r="H83">
        <v>3</v>
      </c>
      <c r="I83" t="s">
        <v>601</v>
      </c>
      <c r="J83" t="s">
        <v>602</v>
      </c>
      <c r="K83" t="s">
        <v>603</v>
      </c>
      <c r="L83">
        <v>1346</v>
      </c>
      <c r="N83">
        <v>1009</v>
      </c>
      <c r="O83" t="s">
        <v>172</v>
      </c>
      <c r="P83" t="s">
        <v>172</v>
      </c>
      <c r="Q83">
        <v>1</v>
      </c>
      <c r="W83">
        <v>0</v>
      </c>
      <c r="X83">
        <v>-84482358</v>
      </c>
      <c r="Y83">
        <v>0.33</v>
      </c>
      <c r="AA83">
        <v>76.900000000000006</v>
      </c>
      <c r="AB83">
        <v>0</v>
      </c>
      <c r="AC83">
        <v>0</v>
      </c>
      <c r="AD83">
        <v>0</v>
      </c>
      <c r="AE83">
        <v>25.38</v>
      </c>
      <c r="AF83">
        <v>0</v>
      </c>
      <c r="AG83">
        <v>0</v>
      </c>
      <c r="AH83">
        <v>0</v>
      </c>
      <c r="AI83">
        <v>3.03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0.33</v>
      </c>
      <c r="AU83" t="s">
        <v>3</v>
      </c>
      <c r="AV83">
        <v>0</v>
      </c>
      <c r="AW83">
        <v>2</v>
      </c>
      <c r="AX83">
        <v>48370843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Y83*Source!I76</f>
        <v>2.6400000000000003E-2</v>
      </c>
      <c r="CY83">
        <f t="shared" si="3"/>
        <v>76.900000000000006</v>
      </c>
      <c r="CZ83">
        <f t="shared" si="4"/>
        <v>25.38</v>
      </c>
      <c r="DA83">
        <f t="shared" si="5"/>
        <v>3.03</v>
      </c>
      <c r="DB83">
        <v>0</v>
      </c>
    </row>
    <row r="84" spans="1:106">
      <c r="A84">
        <f>ROW(Source!A76)</f>
        <v>76</v>
      </c>
      <c r="B84">
        <v>48370320</v>
      </c>
      <c r="C84">
        <v>48370816</v>
      </c>
      <c r="D84">
        <v>37740609</v>
      </c>
      <c r="E84">
        <v>1</v>
      </c>
      <c r="F84">
        <v>1</v>
      </c>
      <c r="G84">
        <v>1</v>
      </c>
      <c r="H84">
        <v>3</v>
      </c>
      <c r="I84" t="s">
        <v>604</v>
      </c>
      <c r="J84" t="s">
        <v>605</v>
      </c>
      <c r="K84" t="s">
        <v>606</v>
      </c>
      <c r="L84">
        <v>1354</v>
      </c>
      <c r="N84">
        <v>1010</v>
      </c>
      <c r="O84" t="s">
        <v>220</v>
      </c>
      <c r="P84" t="s">
        <v>220</v>
      </c>
      <c r="Q84">
        <v>1</v>
      </c>
      <c r="W84">
        <v>0</v>
      </c>
      <c r="X84">
        <v>1385994572</v>
      </c>
      <c r="Y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3</v>
      </c>
      <c r="AT84">
        <v>0</v>
      </c>
      <c r="AU84" t="s">
        <v>3</v>
      </c>
      <c r="AV84">
        <v>0</v>
      </c>
      <c r="AW84">
        <v>2</v>
      </c>
      <c r="AX84">
        <v>48370844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Y84*Source!I76</f>
        <v>0</v>
      </c>
      <c r="CY84">
        <f t="shared" si="3"/>
        <v>0</v>
      </c>
      <c r="CZ84">
        <f t="shared" si="4"/>
        <v>0</v>
      </c>
      <c r="DA84">
        <f t="shared" si="5"/>
        <v>1</v>
      </c>
      <c r="DB84">
        <v>0</v>
      </c>
    </row>
    <row r="85" spans="1:106">
      <c r="A85">
        <f>ROW(Source!A76)</f>
        <v>76</v>
      </c>
      <c r="B85">
        <v>48370320</v>
      </c>
      <c r="C85">
        <v>48370816</v>
      </c>
      <c r="D85">
        <v>37745103</v>
      </c>
      <c r="E85">
        <v>1</v>
      </c>
      <c r="F85">
        <v>1</v>
      </c>
      <c r="G85">
        <v>1</v>
      </c>
      <c r="H85">
        <v>3</v>
      </c>
      <c r="I85" t="s">
        <v>607</v>
      </c>
      <c r="J85" t="s">
        <v>608</v>
      </c>
      <c r="K85" t="s">
        <v>609</v>
      </c>
      <c r="L85">
        <v>1346</v>
      </c>
      <c r="N85">
        <v>1009</v>
      </c>
      <c r="O85" t="s">
        <v>172</v>
      </c>
      <c r="P85" t="s">
        <v>172</v>
      </c>
      <c r="Q85">
        <v>1</v>
      </c>
      <c r="W85">
        <v>0</v>
      </c>
      <c r="X85">
        <v>-1525317035</v>
      </c>
      <c r="Y85">
        <v>0.2</v>
      </c>
      <c r="AA85">
        <v>52.9</v>
      </c>
      <c r="AB85">
        <v>0</v>
      </c>
      <c r="AC85">
        <v>0</v>
      </c>
      <c r="AD85">
        <v>0</v>
      </c>
      <c r="AE85">
        <v>12.05</v>
      </c>
      <c r="AF85">
        <v>0</v>
      </c>
      <c r="AG85">
        <v>0</v>
      </c>
      <c r="AH85">
        <v>0</v>
      </c>
      <c r="AI85">
        <v>4.3899999999999997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0.2</v>
      </c>
      <c r="AU85" t="s">
        <v>3</v>
      </c>
      <c r="AV85">
        <v>0</v>
      </c>
      <c r="AW85">
        <v>2</v>
      </c>
      <c r="AX85">
        <v>48370845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Y85*Source!I76</f>
        <v>1.6E-2</v>
      </c>
      <c r="CY85">
        <f t="shared" si="3"/>
        <v>52.9</v>
      </c>
      <c r="CZ85">
        <f t="shared" si="4"/>
        <v>12.05</v>
      </c>
      <c r="DA85">
        <f t="shared" si="5"/>
        <v>4.3899999999999997</v>
      </c>
      <c r="DB85">
        <v>0</v>
      </c>
    </row>
    <row r="86" spans="1:106">
      <c r="A86">
        <f>ROW(Source!A76)</f>
        <v>76</v>
      </c>
      <c r="B86">
        <v>48370320</v>
      </c>
      <c r="C86">
        <v>48370816</v>
      </c>
      <c r="D86">
        <v>37762030</v>
      </c>
      <c r="E86">
        <v>1</v>
      </c>
      <c r="F86">
        <v>1</v>
      </c>
      <c r="G86">
        <v>1</v>
      </c>
      <c r="H86">
        <v>3</v>
      </c>
      <c r="I86" t="s">
        <v>577</v>
      </c>
      <c r="J86" t="s">
        <v>578</v>
      </c>
      <c r="K86" t="s">
        <v>579</v>
      </c>
      <c r="L86">
        <v>1346</v>
      </c>
      <c r="N86">
        <v>1009</v>
      </c>
      <c r="O86" t="s">
        <v>172</v>
      </c>
      <c r="P86" t="s">
        <v>172</v>
      </c>
      <c r="Q86">
        <v>1</v>
      </c>
      <c r="W86">
        <v>0</v>
      </c>
      <c r="X86">
        <v>677759854</v>
      </c>
      <c r="Y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1</v>
      </c>
      <c r="AO86">
        <v>0</v>
      </c>
      <c r="AP86">
        <v>0</v>
      </c>
      <c r="AQ86">
        <v>0</v>
      </c>
      <c r="AR86">
        <v>0</v>
      </c>
      <c r="AS86" t="s">
        <v>3</v>
      </c>
      <c r="AT86">
        <v>0</v>
      </c>
      <c r="AU86" t="s">
        <v>3</v>
      </c>
      <c r="AV86">
        <v>0</v>
      </c>
      <c r="AW86">
        <v>2</v>
      </c>
      <c r="AX86">
        <v>48370846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Y86*Source!I76</f>
        <v>0</v>
      </c>
      <c r="CY86">
        <f t="shared" si="3"/>
        <v>0</v>
      </c>
      <c r="CZ86">
        <f t="shared" si="4"/>
        <v>0</v>
      </c>
      <c r="DA86">
        <f t="shared" si="5"/>
        <v>1</v>
      </c>
      <c r="DB86">
        <v>0</v>
      </c>
    </row>
    <row r="87" spans="1:106">
      <c r="A87">
        <f>ROW(Source!A76)</f>
        <v>76</v>
      </c>
      <c r="B87">
        <v>48370320</v>
      </c>
      <c r="C87">
        <v>48370816</v>
      </c>
      <c r="D87">
        <v>37766776</v>
      </c>
      <c r="E87">
        <v>1</v>
      </c>
      <c r="F87">
        <v>1</v>
      </c>
      <c r="G87">
        <v>1</v>
      </c>
      <c r="H87">
        <v>3</v>
      </c>
      <c r="I87" t="s">
        <v>610</v>
      </c>
      <c r="J87" t="s">
        <v>611</v>
      </c>
      <c r="K87" t="s">
        <v>612</v>
      </c>
      <c r="L87">
        <v>1354</v>
      </c>
      <c r="N87">
        <v>1010</v>
      </c>
      <c r="O87" t="s">
        <v>220</v>
      </c>
      <c r="P87" t="s">
        <v>220</v>
      </c>
      <c r="Q87">
        <v>1</v>
      </c>
      <c r="W87">
        <v>0</v>
      </c>
      <c r="X87">
        <v>1623346127</v>
      </c>
      <c r="Y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1</v>
      </c>
      <c r="AO87">
        <v>0</v>
      </c>
      <c r="AP87">
        <v>0</v>
      </c>
      <c r="AQ87">
        <v>0</v>
      </c>
      <c r="AR87">
        <v>0</v>
      </c>
      <c r="AS87" t="s">
        <v>3</v>
      </c>
      <c r="AT87">
        <v>0</v>
      </c>
      <c r="AU87" t="s">
        <v>3</v>
      </c>
      <c r="AV87">
        <v>0</v>
      </c>
      <c r="AW87">
        <v>2</v>
      </c>
      <c r="AX87">
        <v>48370847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Y87*Source!I76</f>
        <v>0</v>
      </c>
      <c r="CY87">
        <f t="shared" si="3"/>
        <v>0</v>
      </c>
      <c r="CZ87">
        <f t="shared" si="4"/>
        <v>0</v>
      </c>
      <c r="DA87">
        <f t="shared" si="5"/>
        <v>1</v>
      </c>
      <c r="DB87">
        <v>0</v>
      </c>
    </row>
    <row r="88" spans="1:106">
      <c r="A88">
        <f>ROW(Source!A76)</f>
        <v>76</v>
      </c>
      <c r="B88">
        <v>48370320</v>
      </c>
      <c r="C88">
        <v>48370816</v>
      </c>
      <c r="D88">
        <v>37777058</v>
      </c>
      <c r="E88">
        <v>1</v>
      </c>
      <c r="F88">
        <v>1</v>
      </c>
      <c r="G88">
        <v>1</v>
      </c>
      <c r="H88">
        <v>3</v>
      </c>
      <c r="I88" t="s">
        <v>613</v>
      </c>
      <c r="J88" t="s">
        <v>614</v>
      </c>
      <c r="K88" t="s">
        <v>615</v>
      </c>
      <c r="L88">
        <v>1346</v>
      </c>
      <c r="N88">
        <v>1009</v>
      </c>
      <c r="O88" t="s">
        <v>172</v>
      </c>
      <c r="P88" t="s">
        <v>172</v>
      </c>
      <c r="Q88">
        <v>1</v>
      </c>
      <c r="W88">
        <v>0</v>
      </c>
      <c r="X88">
        <v>-1262037915</v>
      </c>
      <c r="Y88">
        <v>4.0000000000000001E-3</v>
      </c>
      <c r="AA88">
        <v>9.9499999999999993</v>
      </c>
      <c r="AB88">
        <v>0</v>
      </c>
      <c r="AC88">
        <v>0</v>
      </c>
      <c r="AD88">
        <v>0</v>
      </c>
      <c r="AE88">
        <v>1.42</v>
      </c>
      <c r="AF88">
        <v>0</v>
      </c>
      <c r="AG88">
        <v>0</v>
      </c>
      <c r="AH88">
        <v>0</v>
      </c>
      <c r="AI88">
        <v>7.01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4.0000000000000001E-3</v>
      </c>
      <c r="AU88" t="s">
        <v>3</v>
      </c>
      <c r="AV88">
        <v>0</v>
      </c>
      <c r="AW88">
        <v>2</v>
      </c>
      <c r="AX88">
        <v>48370848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Y88*Source!I76</f>
        <v>3.2000000000000003E-4</v>
      </c>
      <c r="CY88">
        <f t="shared" si="3"/>
        <v>9.9499999999999993</v>
      </c>
      <c r="CZ88">
        <f t="shared" si="4"/>
        <v>1.42</v>
      </c>
      <c r="DA88">
        <f t="shared" si="5"/>
        <v>7.01</v>
      </c>
      <c r="DB88">
        <v>0</v>
      </c>
    </row>
    <row r="89" spans="1:106">
      <c r="A89">
        <f>ROW(Source!A76)</f>
        <v>76</v>
      </c>
      <c r="B89">
        <v>48370320</v>
      </c>
      <c r="C89">
        <v>48370816</v>
      </c>
      <c r="D89">
        <v>37777802</v>
      </c>
      <c r="E89">
        <v>1</v>
      </c>
      <c r="F89">
        <v>1</v>
      </c>
      <c r="G89">
        <v>1</v>
      </c>
      <c r="H89">
        <v>3</v>
      </c>
      <c r="I89" t="s">
        <v>616</v>
      </c>
      <c r="J89" t="s">
        <v>617</v>
      </c>
      <c r="K89" t="s">
        <v>618</v>
      </c>
      <c r="L89">
        <v>1339</v>
      </c>
      <c r="N89">
        <v>1007</v>
      </c>
      <c r="O89" t="s">
        <v>543</v>
      </c>
      <c r="P89" t="s">
        <v>543</v>
      </c>
      <c r="Q89">
        <v>1</v>
      </c>
      <c r="W89">
        <v>0</v>
      </c>
      <c r="X89">
        <v>-1418712732</v>
      </c>
      <c r="Y89">
        <v>1.21</v>
      </c>
      <c r="AA89">
        <v>45.55</v>
      </c>
      <c r="AB89">
        <v>0</v>
      </c>
      <c r="AC89">
        <v>0</v>
      </c>
      <c r="AD89">
        <v>0</v>
      </c>
      <c r="AE89">
        <v>2.4700000000000002</v>
      </c>
      <c r="AF89">
        <v>0</v>
      </c>
      <c r="AG89">
        <v>0</v>
      </c>
      <c r="AH89">
        <v>0</v>
      </c>
      <c r="AI89">
        <v>18.440000000000001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1.21</v>
      </c>
      <c r="AU89" t="s">
        <v>3</v>
      </c>
      <c r="AV89">
        <v>0</v>
      </c>
      <c r="AW89">
        <v>2</v>
      </c>
      <c r="AX89">
        <v>48370849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Y89*Source!I76</f>
        <v>9.6799999999999997E-2</v>
      </c>
      <c r="CY89">
        <f t="shared" si="3"/>
        <v>45.55</v>
      </c>
      <c r="CZ89">
        <f t="shared" si="4"/>
        <v>2.4700000000000002</v>
      </c>
      <c r="DA89">
        <f t="shared" si="5"/>
        <v>18.440000000000001</v>
      </c>
      <c r="DB89">
        <v>0</v>
      </c>
    </row>
    <row r="90" spans="1:106">
      <c r="A90">
        <f>ROW(Source!A76)</f>
        <v>76</v>
      </c>
      <c r="B90">
        <v>48370320</v>
      </c>
      <c r="C90">
        <v>48370816</v>
      </c>
      <c r="D90">
        <v>37786634</v>
      </c>
      <c r="E90">
        <v>1</v>
      </c>
      <c r="F90">
        <v>1</v>
      </c>
      <c r="G90">
        <v>1</v>
      </c>
      <c r="H90">
        <v>3</v>
      </c>
      <c r="I90" t="s">
        <v>619</v>
      </c>
      <c r="J90" t="s">
        <v>620</v>
      </c>
      <c r="K90" t="s">
        <v>621</v>
      </c>
      <c r="L90">
        <v>1302</v>
      </c>
      <c r="N90">
        <v>1003</v>
      </c>
      <c r="O90" t="s">
        <v>622</v>
      </c>
      <c r="P90" t="s">
        <v>622</v>
      </c>
      <c r="Q90">
        <v>10</v>
      </c>
      <c r="W90">
        <v>0</v>
      </c>
      <c r="X90">
        <v>-1663296845</v>
      </c>
      <c r="Y90">
        <v>9.3800000000000008</v>
      </c>
      <c r="AA90">
        <v>250.66</v>
      </c>
      <c r="AB90">
        <v>0</v>
      </c>
      <c r="AC90">
        <v>0</v>
      </c>
      <c r="AD90">
        <v>0</v>
      </c>
      <c r="AE90">
        <v>74.599999999999994</v>
      </c>
      <c r="AF90">
        <v>0</v>
      </c>
      <c r="AG90">
        <v>0</v>
      </c>
      <c r="AH90">
        <v>0</v>
      </c>
      <c r="AI90">
        <v>3.36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9.3800000000000008</v>
      </c>
      <c r="AU90" t="s">
        <v>3</v>
      </c>
      <c r="AV90">
        <v>0</v>
      </c>
      <c r="AW90">
        <v>2</v>
      </c>
      <c r="AX90">
        <v>48370850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Y90*Source!I76</f>
        <v>0.75040000000000007</v>
      </c>
      <c r="CY90">
        <f t="shared" si="3"/>
        <v>250.66</v>
      </c>
      <c r="CZ90">
        <f t="shared" si="4"/>
        <v>74.599999999999994</v>
      </c>
      <c r="DA90">
        <f t="shared" si="5"/>
        <v>3.36</v>
      </c>
      <c r="DB90">
        <v>0</v>
      </c>
    </row>
    <row r="91" spans="1:106">
      <c r="A91">
        <f>ROW(Source!A77)</f>
        <v>77</v>
      </c>
      <c r="B91">
        <v>48370320</v>
      </c>
      <c r="C91">
        <v>48370851</v>
      </c>
      <c r="D91">
        <v>23146426</v>
      </c>
      <c r="E91">
        <v>1</v>
      </c>
      <c r="F91">
        <v>1</v>
      </c>
      <c r="G91">
        <v>1</v>
      </c>
      <c r="H91">
        <v>1</v>
      </c>
      <c r="I91" t="s">
        <v>569</v>
      </c>
      <c r="J91" t="s">
        <v>3</v>
      </c>
      <c r="K91" t="s">
        <v>570</v>
      </c>
      <c r="L91">
        <v>1369</v>
      </c>
      <c r="N91">
        <v>1013</v>
      </c>
      <c r="O91" t="s">
        <v>510</v>
      </c>
      <c r="P91" t="s">
        <v>510</v>
      </c>
      <c r="Q91">
        <v>1</v>
      </c>
      <c r="W91">
        <v>0</v>
      </c>
      <c r="X91">
        <v>-348873804</v>
      </c>
      <c r="Y91">
        <v>61.9</v>
      </c>
      <c r="AA91">
        <v>0</v>
      </c>
      <c r="AB91">
        <v>0</v>
      </c>
      <c r="AC91">
        <v>0</v>
      </c>
      <c r="AD91">
        <v>9.27</v>
      </c>
      <c r="AE91">
        <v>0</v>
      </c>
      <c r="AF91">
        <v>0</v>
      </c>
      <c r="AG91">
        <v>0</v>
      </c>
      <c r="AH91">
        <v>9.27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61.9</v>
      </c>
      <c r="AU91" t="s">
        <v>3</v>
      </c>
      <c r="AV91">
        <v>1</v>
      </c>
      <c r="AW91">
        <v>2</v>
      </c>
      <c r="AX91">
        <v>48370861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Y91*Source!I77</f>
        <v>2.476</v>
      </c>
      <c r="CY91">
        <f>AD91</f>
        <v>9.27</v>
      </c>
      <c r="CZ91">
        <f>AH91</f>
        <v>9.27</v>
      </c>
      <c r="DA91">
        <f>AL91</f>
        <v>1</v>
      </c>
      <c r="DB91">
        <v>0</v>
      </c>
    </row>
    <row r="92" spans="1:106">
      <c r="A92">
        <f>ROW(Source!A77)</f>
        <v>77</v>
      </c>
      <c r="B92">
        <v>48370320</v>
      </c>
      <c r="C92">
        <v>48370851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24</v>
      </c>
      <c r="J92" t="s">
        <v>3</v>
      </c>
      <c r="K92" t="s">
        <v>511</v>
      </c>
      <c r="L92">
        <v>608254</v>
      </c>
      <c r="N92">
        <v>1013</v>
      </c>
      <c r="O92" t="s">
        <v>512</v>
      </c>
      <c r="P92" t="s">
        <v>512</v>
      </c>
      <c r="Q92">
        <v>1</v>
      </c>
      <c r="W92">
        <v>0</v>
      </c>
      <c r="X92">
        <v>-185737400</v>
      </c>
      <c r="Y92">
        <v>0.2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0.2</v>
      </c>
      <c r="AU92" t="s">
        <v>3</v>
      </c>
      <c r="AV92">
        <v>2</v>
      </c>
      <c r="AW92">
        <v>2</v>
      </c>
      <c r="AX92">
        <v>48370862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Y92*Source!I77</f>
        <v>8.0000000000000002E-3</v>
      </c>
      <c r="CY92">
        <f>AD92</f>
        <v>0</v>
      </c>
      <c r="CZ92">
        <f>AH92</f>
        <v>0</v>
      </c>
      <c r="DA92">
        <f>AL92</f>
        <v>1</v>
      </c>
      <c r="DB92">
        <v>0</v>
      </c>
    </row>
    <row r="93" spans="1:106">
      <c r="A93">
        <f>ROW(Source!A77)</f>
        <v>77</v>
      </c>
      <c r="B93">
        <v>48370320</v>
      </c>
      <c r="C93">
        <v>48370851</v>
      </c>
      <c r="D93">
        <v>37802578</v>
      </c>
      <c r="E93">
        <v>1</v>
      </c>
      <c r="F93">
        <v>1</v>
      </c>
      <c r="G93">
        <v>1</v>
      </c>
      <c r="H93">
        <v>2</v>
      </c>
      <c r="I93" t="s">
        <v>550</v>
      </c>
      <c r="J93" t="s">
        <v>551</v>
      </c>
      <c r="K93" t="s">
        <v>552</v>
      </c>
      <c r="L93">
        <v>1368</v>
      </c>
      <c r="N93">
        <v>1011</v>
      </c>
      <c r="O93" t="s">
        <v>516</v>
      </c>
      <c r="P93" t="s">
        <v>516</v>
      </c>
      <c r="Q93">
        <v>1</v>
      </c>
      <c r="W93">
        <v>0</v>
      </c>
      <c r="X93">
        <v>1753337916</v>
      </c>
      <c r="Y93">
        <v>0.2</v>
      </c>
      <c r="AA93">
        <v>0</v>
      </c>
      <c r="AB93">
        <v>327.64</v>
      </c>
      <c r="AC93">
        <v>252.65</v>
      </c>
      <c r="AD93">
        <v>0</v>
      </c>
      <c r="AE93">
        <v>0</v>
      </c>
      <c r="AF93">
        <v>32.090000000000003</v>
      </c>
      <c r="AG93">
        <v>12.1</v>
      </c>
      <c r="AH93">
        <v>0</v>
      </c>
      <c r="AI93">
        <v>1</v>
      </c>
      <c r="AJ93">
        <v>10.210000000000001</v>
      </c>
      <c r="AK93">
        <v>20.88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0.2</v>
      </c>
      <c r="AU93" t="s">
        <v>3</v>
      </c>
      <c r="AV93">
        <v>0</v>
      </c>
      <c r="AW93">
        <v>2</v>
      </c>
      <c r="AX93">
        <v>48370863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Y93*Source!I77</f>
        <v>8.0000000000000002E-3</v>
      </c>
      <c r="CY93">
        <f>AB93</f>
        <v>327.64</v>
      </c>
      <c r="CZ93">
        <f>AF93</f>
        <v>32.090000000000003</v>
      </c>
      <c r="DA93">
        <f>AJ93</f>
        <v>10.210000000000001</v>
      </c>
      <c r="DB93">
        <v>0</v>
      </c>
    </row>
    <row r="94" spans="1:106">
      <c r="A94">
        <f>ROW(Source!A77)</f>
        <v>77</v>
      </c>
      <c r="B94">
        <v>48370320</v>
      </c>
      <c r="C94">
        <v>48370851</v>
      </c>
      <c r="D94">
        <v>37804456</v>
      </c>
      <c r="E94">
        <v>1</v>
      </c>
      <c r="F94">
        <v>1</v>
      </c>
      <c r="G94">
        <v>1</v>
      </c>
      <c r="H94">
        <v>2</v>
      </c>
      <c r="I94" t="s">
        <v>530</v>
      </c>
      <c r="J94" t="s">
        <v>531</v>
      </c>
      <c r="K94" t="s">
        <v>532</v>
      </c>
      <c r="L94">
        <v>1368</v>
      </c>
      <c r="N94">
        <v>1011</v>
      </c>
      <c r="O94" t="s">
        <v>516</v>
      </c>
      <c r="P94" t="s">
        <v>516</v>
      </c>
      <c r="Q94">
        <v>1</v>
      </c>
      <c r="W94">
        <v>0</v>
      </c>
      <c r="X94">
        <v>-671646184</v>
      </c>
      <c r="Y94">
        <v>0.2</v>
      </c>
      <c r="AA94">
        <v>0</v>
      </c>
      <c r="AB94">
        <v>844.19</v>
      </c>
      <c r="AC94">
        <v>216.11</v>
      </c>
      <c r="AD94">
        <v>0</v>
      </c>
      <c r="AE94">
        <v>0</v>
      </c>
      <c r="AF94">
        <v>91.76</v>
      </c>
      <c r="AG94">
        <v>10.35</v>
      </c>
      <c r="AH94">
        <v>0</v>
      </c>
      <c r="AI94">
        <v>1</v>
      </c>
      <c r="AJ94">
        <v>9.1999999999999993</v>
      </c>
      <c r="AK94">
        <v>20.88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0.2</v>
      </c>
      <c r="AU94" t="s">
        <v>3</v>
      </c>
      <c r="AV94">
        <v>0</v>
      </c>
      <c r="AW94">
        <v>2</v>
      </c>
      <c r="AX94">
        <v>48370864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Y94*Source!I77</f>
        <v>8.0000000000000002E-3</v>
      </c>
      <c r="CY94">
        <f>AB94</f>
        <v>844.19</v>
      </c>
      <c r="CZ94">
        <f>AF94</f>
        <v>91.76</v>
      </c>
      <c r="DA94">
        <f>AJ94</f>
        <v>9.1999999999999993</v>
      </c>
      <c r="DB94">
        <v>0</v>
      </c>
    </row>
    <row r="95" spans="1:106">
      <c r="A95">
        <f>ROW(Source!A77)</f>
        <v>77</v>
      </c>
      <c r="B95">
        <v>48370320</v>
      </c>
      <c r="C95">
        <v>48370851</v>
      </c>
      <c r="D95">
        <v>37732155</v>
      </c>
      <c r="E95">
        <v>1</v>
      </c>
      <c r="F95">
        <v>1</v>
      </c>
      <c r="G95">
        <v>1</v>
      </c>
      <c r="H95">
        <v>3</v>
      </c>
      <c r="I95" t="s">
        <v>571</v>
      </c>
      <c r="J95" t="s">
        <v>572</v>
      </c>
      <c r="K95" t="s">
        <v>573</v>
      </c>
      <c r="L95">
        <v>1346</v>
      </c>
      <c r="N95">
        <v>1009</v>
      </c>
      <c r="O95" t="s">
        <v>172</v>
      </c>
      <c r="P95" t="s">
        <v>172</v>
      </c>
      <c r="Q95">
        <v>1</v>
      </c>
      <c r="W95">
        <v>0</v>
      </c>
      <c r="X95">
        <v>1545344</v>
      </c>
      <c r="Y95">
        <v>4</v>
      </c>
      <c r="AA95">
        <v>129.37</v>
      </c>
      <c r="AB95">
        <v>0</v>
      </c>
      <c r="AC95">
        <v>0</v>
      </c>
      <c r="AD95">
        <v>0</v>
      </c>
      <c r="AE95">
        <v>24.41</v>
      </c>
      <c r="AF95">
        <v>0</v>
      </c>
      <c r="AG95">
        <v>0</v>
      </c>
      <c r="AH95">
        <v>0</v>
      </c>
      <c r="AI95">
        <v>5.3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4</v>
      </c>
      <c r="AU95" t="s">
        <v>3</v>
      </c>
      <c r="AV95">
        <v>0</v>
      </c>
      <c r="AW95">
        <v>2</v>
      </c>
      <c r="AX95">
        <v>48370865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Y95*Source!I77</f>
        <v>0.16</v>
      </c>
      <c r="CY95">
        <f>AA95</f>
        <v>129.37</v>
      </c>
      <c r="CZ95">
        <f>AE95</f>
        <v>24.41</v>
      </c>
      <c r="DA95">
        <f>AI95</f>
        <v>5.3</v>
      </c>
      <c r="DB95">
        <v>0</v>
      </c>
    </row>
    <row r="96" spans="1:106">
      <c r="A96">
        <f>ROW(Source!A77)</f>
        <v>77</v>
      </c>
      <c r="B96">
        <v>48370320</v>
      </c>
      <c r="C96">
        <v>48370851</v>
      </c>
      <c r="D96">
        <v>37736852</v>
      </c>
      <c r="E96">
        <v>1</v>
      </c>
      <c r="F96">
        <v>1</v>
      </c>
      <c r="G96">
        <v>1</v>
      </c>
      <c r="H96">
        <v>3</v>
      </c>
      <c r="I96" t="s">
        <v>574</v>
      </c>
      <c r="J96" t="s">
        <v>575</v>
      </c>
      <c r="K96" t="s">
        <v>576</v>
      </c>
      <c r="L96">
        <v>1348</v>
      </c>
      <c r="N96">
        <v>1009</v>
      </c>
      <c r="O96" t="s">
        <v>536</v>
      </c>
      <c r="P96" t="s">
        <v>536</v>
      </c>
      <c r="Q96">
        <v>1000</v>
      </c>
      <c r="W96">
        <v>0</v>
      </c>
      <c r="X96">
        <v>259030359</v>
      </c>
      <c r="Y96">
        <v>2.7000000000000001E-3</v>
      </c>
      <c r="AA96">
        <v>71480.600000000006</v>
      </c>
      <c r="AB96">
        <v>0</v>
      </c>
      <c r="AC96">
        <v>0</v>
      </c>
      <c r="AD96">
        <v>0</v>
      </c>
      <c r="AE96">
        <v>14830</v>
      </c>
      <c r="AF96">
        <v>0</v>
      </c>
      <c r="AG96">
        <v>0</v>
      </c>
      <c r="AH96">
        <v>0</v>
      </c>
      <c r="AI96">
        <v>4.82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2.7000000000000001E-3</v>
      </c>
      <c r="AU96" t="s">
        <v>3</v>
      </c>
      <c r="AV96">
        <v>0</v>
      </c>
      <c r="AW96">
        <v>2</v>
      </c>
      <c r="AX96">
        <v>48370866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Y96*Source!I77</f>
        <v>1.0800000000000001E-4</v>
      </c>
      <c r="CY96">
        <f>AA96</f>
        <v>71480.600000000006</v>
      </c>
      <c r="CZ96">
        <f>AE96</f>
        <v>14830</v>
      </c>
      <c r="DA96">
        <f>AI96</f>
        <v>4.82</v>
      </c>
      <c r="DB96">
        <v>0</v>
      </c>
    </row>
    <row r="97" spans="1:106">
      <c r="A97">
        <f>ROW(Source!A77)</f>
        <v>77</v>
      </c>
      <c r="B97">
        <v>48370320</v>
      </c>
      <c r="C97">
        <v>48370851</v>
      </c>
      <c r="D97">
        <v>37762030</v>
      </c>
      <c r="E97">
        <v>1</v>
      </c>
      <c r="F97">
        <v>1</v>
      </c>
      <c r="G97">
        <v>1</v>
      </c>
      <c r="H97">
        <v>3</v>
      </c>
      <c r="I97" t="s">
        <v>577</v>
      </c>
      <c r="J97" t="s">
        <v>578</v>
      </c>
      <c r="K97" t="s">
        <v>579</v>
      </c>
      <c r="L97">
        <v>1346</v>
      </c>
      <c r="N97">
        <v>1009</v>
      </c>
      <c r="O97" t="s">
        <v>172</v>
      </c>
      <c r="P97" t="s">
        <v>172</v>
      </c>
      <c r="Q97">
        <v>1</v>
      </c>
      <c r="W97">
        <v>0</v>
      </c>
      <c r="X97">
        <v>677759854</v>
      </c>
      <c r="Y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1</v>
      </c>
      <c r="AO97">
        <v>0</v>
      </c>
      <c r="AP97">
        <v>0</v>
      </c>
      <c r="AQ97">
        <v>0</v>
      </c>
      <c r="AR97">
        <v>0</v>
      </c>
      <c r="AS97" t="s">
        <v>3</v>
      </c>
      <c r="AT97">
        <v>0</v>
      </c>
      <c r="AU97" t="s">
        <v>3</v>
      </c>
      <c r="AV97">
        <v>0</v>
      </c>
      <c r="AW97">
        <v>2</v>
      </c>
      <c r="AX97">
        <v>48370867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Y97*Source!I77</f>
        <v>0</v>
      </c>
      <c r="CY97">
        <f>AA97</f>
        <v>0</v>
      </c>
      <c r="CZ97">
        <f>AE97</f>
        <v>0</v>
      </c>
      <c r="DA97">
        <f>AI97</f>
        <v>1</v>
      </c>
      <c r="DB97">
        <v>0</v>
      </c>
    </row>
    <row r="98" spans="1:106">
      <c r="A98">
        <f>ROW(Source!A77)</f>
        <v>77</v>
      </c>
      <c r="B98">
        <v>48370320</v>
      </c>
      <c r="C98">
        <v>48370851</v>
      </c>
      <c r="D98">
        <v>37767093</v>
      </c>
      <c r="E98">
        <v>1</v>
      </c>
      <c r="F98">
        <v>1</v>
      </c>
      <c r="G98">
        <v>1</v>
      </c>
      <c r="H98">
        <v>3</v>
      </c>
      <c r="I98" t="s">
        <v>580</v>
      </c>
      <c r="J98" t="s">
        <v>581</v>
      </c>
      <c r="K98" t="s">
        <v>582</v>
      </c>
      <c r="L98">
        <v>1301</v>
      </c>
      <c r="N98">
        <v>1003</v>
      </c>
      <c r="O98" t="s">
        <v>208</v>
      </c>
      <c r="P98" t="s">
        <v>208</v>
      </c>
      <c r="Q98">
        <v>1</v>
      </c>
      <c r="W98">
        <v>0</v>
      </c>
      <c r="X98">
        <v>-1376368494</v>
      </c>
      <c r="Y98">
        <v>99.8</v>
      </c>
      <c r="AA98">
        <v>378.9</v>
      </c>
      <c r="AB98">
        <v>0</v>
      </c>
      <c r="AC98">
        <v>0</v>
      </c>
      <c r="AD98">
        <v>0</v>
      </c>
      <c r="AE98">
        <v>119.15</v>
      </c>
      <c r="AF98">
        <v>0</v>
      </c>
      <c r="AG98">
        <v>0</v>
      </c>
      <c r="AH98">
        <v>0</v>
      </c>
      <c r="AI98">
        <v>3.18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99.8</v>
      </c>
      <c r="AU98" t="s">
        <v>3</v>
      </c>
      <c r="AV98">
        <v>0</v>
      </c>
      <c r="AW98">
        <v>2</v>
      </c>
      <c r="AX98">
        <v>48370868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Y98*Source!I77</f>
        <v>3.992</v>
      </c>
      <c r="CY98">
        <f>AA98</f>
        <v>378.9</v>
      </c>
      <c r="CZ98">
        <f>AE98</f>
        <v>119.15</v>
      </c>
      <c r="DA98">
        <f>AI98</f>
        <v>3.18</v>
      </c>
      <c r="DB98">
        <v>0</v>
      </c>
    </row>
    <row r="99" spans="1:106">
      <c r="A99">
        <f>ROW(Source!A77)</f>
        <v>77</v>
      </c>
      <c r="B99">
        <v>48370320</v>
      </c>
      <c r="C99">
        <v>48370851</v>
      </c>
      <c r="D99">
        <v>37792787</v>
      </c>
      <c r="E99">
        <v>1</v>
      </c>
      <c r="F99">
        <v>1</v>
      </c>
      <c r="G99">
        <v>1</v>
      </c>
      <c r="H99">
        <v>3</v>
      </c>
      <c r="I99" t="s">
        <v>555</v>
      </c>
      <c r="J99" t="s">
        <v>556</v>
      </c>
      <c r="K99" t="s">
        <v>557</v>
      </c>
      <c r="L99">
        <v>1348</v>
      </c>
      <c r="N99">
        <v>1009</v>
      </c>
      <c r="O99" t="s">
        <v>536</v>
      </c>
      <c r="P99" t="s">
        <v>536</v>
      </c>
      <c r="Q99">
        <v>1000</v>
      </c>
      <c r="W99">
        <v>0</v>
      </c>
      <c r="X99">
        <v>-150994421</v>
      </c>
      <c r="Y99">
        <v>0.11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S99" t="s">
        <v>3</v>
      </c>
      <c r="AT99">
        <v>0.11</v>
      </c>
      <c r="AU99" t="s">
        <v>3</v>
      </c>
      <c r="AV99">
        <v>0</v>
      </c>
      <c r="AW99">
        <v>2</v>
      </c>
      <c r="AX99">
        <v>48370869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Y99*Source!I77</f>
        <v>4.4000000000000003E-3</v>
      </c>
      <c r="CY99">
        <f>AA99</f>
        <v>0</v>
      </c>
      <c r="CZ99">
        <f>AE99</f>
        <v>0</v>
      </c>
      <c r="DA99">
        <f>AI99</f>
        <v>1</v>
      </c>
      <c r="DB99">
        <v>0</v>
      </c>
    </row>
    <row r="100" spans="1:106">
      <c r="A100">
        <f>ROW(Source!A78)</f>
        <v>78</v>
      </c>
      <c r="B100">
        <v>48370320</v>
      </c>
      <c r="C100">
        <v>48371678</v>
      </c>
      <c r="D100">
        <v>23135499</v>
      </c>
      <c r="E100">
        <v>1</v>
      </c>
      <c r="F100">
        <v>1</v>
      </c>
      <c r="G100">
        <v>1</v>
      </c>
      <c r="H100">
        <v>1</v>
      </c>
      <c r="I100" t="s">
        <v>623</v>
      </c>
      <c r="J100" t="s">
        <v>3</v>
      </c>
      <c r="K100" t="s">
        <v>624</v>
      </c>
      <c r="L100">
        <v>1369</v>
      </c>
      <c r="N100">
        <v>1013</v>
      </c>
      <c r="O100" t="s">
        <v>510</v>
      </c>
      <c r="P100" t="s">
        <v>510</v>
      </c>
      <c r="Q100">
        <v>1</v>
      </c>
      <c r="W100">
        <v>0</v>
      </c>
      <c r="X100">
        <v>-499460097</v>
      </c>
      <c r="Y100">
        <v>7.5324999999999989</v>
      </c>
      <c r="AA100">
        <v>0</v>
      </c>
      <c r="AB100">
        <v>0</v>
      </c>
      <c r="AC100">
        <v>0</v>
      </c>
      <c r="AD100">
        <v>8.99</v>
      </c>
      <c r="AE100">
        <v>0</v>
      </c>
      <c r="AF100">
        <v>0</v>
      </c>
      <c r="AG100">
        <v>0</v>
      </c>
      <c r="AH100">
        <v>8.99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S100" t="s">
        <v>3</v>
      </c>
      <c r="AT100">
        <v>6.55</v>
      </c>
      <c r="AU100" t="s">
        <v>161</v>
      </c>
      <c r="AV100">
        <v>1</v>
      </c>
      <c r="AW100">
        <v>2</v>
      </c>
      <c r="AX100">
        <v>48371679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Y100*Source!I78</f>
        <v>1.5818249999999996</v>
      </c>
      <c r="CY100">
        <f>AD100</f>
        <v>8.99</v>
      </c>
      <c r="CZ100">
        <f>AH100</f>
        <v>8.99</v>
      </c>
      <c r="DA100">
        <f>AL100</f>
        <v>1</v>
      </c>
      <c r="DB100">
        <v>0</v>
      </c>
    </row>
    <row r="101" spans="1:106">
      <c r="A101">
        <f>ROW(Source!A78)</f>
        <v>78</v>
      </c>
      <c r="B101">
        <v>48370320</v>
      </c>
      <c r="C101">
        <v>48371678</v>
      </c>
      <c r="D101">
        <v>121548</v>
      </c>
      <c r="E101">
        <v>1</v>
      </c>
      <c r="F101">
        <v>1</v>
      </c>
      <c r="G101">
        <v>1</v>
      </c>
      <c r="H101">
        <v>1</v>
      </c>
      <c r="I101" t="s">
        <v>24</v>
      </c>
      <c r="J101" t="s">
        <v>3</v>
      </c>
      <c r="K101" t="s">
        <v>511</v>
      </c>
      <c r="L101">
        <v>608254</v>
      </c>
      <c r="N101">
        <v>1013</v>
      </c>
      <c r="O101" t="s">
        <v>512</v>
      </c>
      <c r="P101" t="s">
        <v>512</v>
      </c>
      <c r="Q101">
        <v>1</v>
      </c>
      <c r="W101">
        <v>0</v>
      </c>
      <c r="X101">
        <v>-185737400</v>
      </c>
      <c r="Y101">
        <v>1.2500000000000001E-2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1</v>
      </c>
      <c r="AQ101">
        <v>0</v>
      </c>
      <c r="AR101">
        <v>0</v>
      </c>
      <c r="AS101" t="s">
        <v>3</v>
      </c>
      <c r="AT101">
        <v>0.01</v>
      </c>
      <c r="AU101" t="s">
        <v>160</v>
      </c>
      <c r="AV101">
        <v>2</v>
      </c>
      <c r="AW101">
        <v>2</v>
      </c>
      <c r="AX101">
        <v>48371680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Y101*Source!I78</f>
        <v>2.6250000000000002E-3</v>
      </c>
      <c r="CY101">
        <f>AD101</f>
        <v>0</v>
      </c>
      <c r="CZ101">
        <f>AH101</f>
        <v>0</v>
      </c>
      <c r="DA101">
        <f>AL101</f>
        <v>1</v>
      </c>
      <c r="DB101">
        <v>0</v>
      </c>
    </row>
    <row r="102" spans="1:106">
      <c r="A102">
        <f>ROW(Source!A78)</f>
        <v>78</v>
      </c>
      <c r="B102">
        <v>48370320</v>
      </c>
      <c r="C102">
        <v>48371678</v>
      </c>
      <c r="D102">
        <v>37802578</v>
      </c>
      <c r="E102">
        <v>1</v>
      </c>
      <c r="F102">
        <v>1</v>
      </c>
      <c r="G102">
        <v>1</v>
      </c>
      <c r="H102">
        <v>2</v>
      </c>
      <c r="I102" t="s">
        <v>550</v>
      </c>
      <c r="J102" t="s">
        <v>551</v>
      </c>
      <c r="K102" t="s">
        <v>552</v>
      </c>
      <c r="L102">
        <v>1368</v>
      </c>
      <c r="N102">
        <v>1011</v>
      </c>
      <c r="O102" t="s">
        <v>516</v>
      </c>
      <c r="P102" t="s">
        <v>516</v>
      </c>
      <c r="Q102">
        <v>1</v>
      </c>
      <c r="W102">
        <v>0</v>
      </c>
      <c r="X102">
        <v>1753337916</v>
      </c>
      <c r="Y102">
        <v>1.2500000000000001E-2</v>
      </c>
      <c r="AA102">
        <v>0</v>
      </c>
      <c r="AB102">
        <v>327.64</v>
      </c>
      <c r="AC102">
        <v>252.65</v>
      </c>
      <c r="AD102">
        <v>0</v>
      </c>
      <c r="AE102">
        <v>0</v>
      </c>
      <c r="AF102">
        <v>32.090000000000003</v>
      </c>
      <c r="AG102">
        <v>12.1</v>
      </c>
      <c r="AH102">
        <v>0</v>
      </c>
      <c r="AI102">
        <v>1</v>
      </c>
      <c r="AJ102">
        <v>10.210000000000001</v>
      </c>
      <c r="AK102">
        <v>20.88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S102" t="s">
        <v>3</v>
      </c>
      <c r="AT102">
        <v>0.01</v>
      </c>
      <c r="AU102" t="s">
        <v>160</v>
      </c>
      <c r="AV102">
        <v>0</v>
      </c>
      <c r="AW102">
        <v>2</v>
      </c>
      <c r="AX102">
        <v>48371681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Y102*Source!I78</f>
        <v>2.6250000000000002E-3</v>
      </c>
      <c r="CY102">
        <f>AB102</f>
        <v>327.64</v>
      </c>
      <c r="CZ102">
        <f>AF102</f>
        <v>32.090000000000003</v>
      </c>
      <c r="DA102">
        <f>AJ102</f>
        <v>10.210000000000001</v>
      </c>
      <c r="DB102">
        <v>0</v>
      </c>
    </row>
    <row r="103" spans="1:106">
      <c r="A103">
        <f>ROW(Source!A78)</f>
        <v>78</v>
      </c>
      <c r="B103">
        <v>48370320</v>
      </c>
      <c r="C103">
        <v>48371678</v>
      </c>
      <c r="D103">
        <v>37804456</v>
      </c>
      <c r="E103">
        <v>1</v>
      </c>
      <c r="F103">
        <v>1</v>
      </c>
      <c r="G103">
        <v>1</v>
      </c>
      <c r="H103">
        <v>2</v>
      </c>
      <c r="I103" t="s">
        <v>530</v>
      </c>
      <c r="J103" t="s">
        <v>531</v>
      </c>
      <c r="K103" t="s">
        <v>532</v>
      </c>
      <c r="L103">
        <v>1368</v>
      </c>
      <c r="N103">
        <v>1011</v>
      </c>
      <c r="O103" t="s">
        <v>516</v>
      </c>
      <c r="P103" t="s">
        <v>516</v>
      </c>
      <c r="Q103">
        <v>1</v>
      </c>
      <c r="W103">
        <v>0</v>
      </c>
      <c r="X103">
        <v>-671646184</v>
      </c>
      <c r="Y103">
        <v>1.2500000000000001E-2</v>
      </c>
      <c r="AA103">
        <v>0</v>
      </c>
      <c r="AB103">
        <v>844.19</v>
      </c>
      <c r="AC103">
        <v>216.11</v>
      </c>
      <c r="AD103">
        <v>0</v>
      </c>
      <c r="AE103">
        <v>0</v>
      </c>
      <c r="AF103">
        <v>91.76</v>
      </c>
      <c r="AG103">
        <v>10.35</v>
      </c>
      <c r="AH103">
        <v>0</v>
      </c>
      <c r="AI103">
        <v>1</v>
      </c>
      <c r="AJ103">
        <v>9.1999999999999993</v>
      </c>
      <c r="AK103">
        <v>20.88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S103" t="s">
        <v>3</v>
      </c>
      <c r="AT103">
        <v>0.01</v>
      </c>
      <c r="AU103" t="s">
        <v>160</v>
      </c>
      <c r="AV103">
        <v>0</v>
      </c>
      <c r="AW103">
        <v>2</v>
      </c>
      <c r="AX103">
        <v>48371682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Y103*Source!I78</f>
        <v>2.6250000000000002E-3</v>
      </c>
      <c r="CY103">
        <f>AB103</f>
        <v>844.19</v>
      </c>
      <c r="CZ103">
        <f>AF103</f>
        <v>91.76</v>
      </c>
      <c r="DA103">
        <f>AJ103</f>
        <v>9.1999999999999993</v>
      </c>
      <c r="DB103">
        <v>0</v>
      </c>
    </row>
    <row r="104" spans="1:106">
      <c r="A104">
        <f>ROW(Source!A78)</f>
        <v>78</v>
      </c>
      <c r="B104">
        <v>48370320</v>
      </c>
      <c r="C104">
        <v>48371678</v>
      </c>
      <c r="D104">
        <v>37729991</v>
      </c>
      <c r="E104">
        <v>1</v>
      </c>
      <c r="F104">
        <v>1</v>
      </c>
      <c r="G104">
        <v>1</v>
      </c>
      <c r="H104">
        <v>3</v>
      </c>
      <c r="I104" t="s">
        <v>625</v>
      </c>
      <c r="J104" t="s">
        <v>626</v>
      </c>
      <c r="K104" t="s">
        <v>627</v>
      </c>
      <c r="L104">
        <v>1346</v>
      </c>
      <c r="N104">
        <v>1009</v>
      </c>
      <c r="O104" t="s">
        <v>172</v>
      </c>
      <c r="P104" t="s">
        <v>172</v>
      </c>
      <c r="Q104">
        <v>1</v>
      </c>
      <c r="W104">
        <v>0</v>
      </c>
      <c r="X104">
        <v>844235703</v>
      </c>
      <c r="Y104">
        <v>0.1</v>
      </c>
      <c r="AA104">
        <v>26.15</v>
      </c>
      <c r="AB104">
        <v>0</v>
      </c>
      <c r="AC104">
        <v>0</v>
      </c>
      <c r="AD104">
        <v>0</v>
      </c>
      <c r="AE104">
        <v>1.82</v>
      </c>
      <c r="AF104">
        <v>0</v>
      </c>
      <c r="AG104">
        <v>0</v>
      </c>
      <c r="AH104">
        <v>0</v>
      </c>
      <c r="AI104">
        <v>14.37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0.1</v>
      </c>
      <c r="AU104" t="s">
        <v>3</v>
      </c>
      <c r="AV104">
        <v>0</v>
      </c>
      <c r="AW104">
        <v>2</v>
      </c>
      <c r="AX104">
        <v>48371683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Y104*Source!I78</f>
        <v>2.1000000000000001E-2</v>
      </c>
      <c r="CY104">
        <f>AA104</f>
        <v>26.15</v>
      </c>
      <c r="CZ104">
        <f>AE104</f>
        <v>1.82</v>
      </c>
      <c r="DA104">
        <f>AI104</f>
        <v>14.37</v>
      </c>
      <c r="DB104">
        <v>0</v>
      </c>
    </row>
    <row r="105" spans="1:106">
      <c r="A105">
        <f>ROW(Source!A78)</f>
        <v>78</v>
      </c>
      <c r="B105">
        <v>48370320</v>
      </c>
      <c r="C105">
        <v>48371678</v>
      </c>
      <c r="D105">
        <v>37731442</v>
      </c>
      <c r="E105">
        <v>1</v>
      </c>
      <c r="F105">
        <v>1</v>
      </c>
      <c r="G105">
        <v>1</v>
      </c>
      <c r="H105">
        <v>3</v>
      </c>
      <c r="I105" t="s">
        <v>628</v>
      </c>
      <c r="J105" t="s">
        <v>629</v>
      </c>
      <c r="K105" t="s">
        <v>630</v>
      </c>
      <c r="L105">
        <v>1348</v>
      </c>
      <c r="N105">
        <v>1009</v>
      </c>
      <c r="O105" t="s">
        <v>536</v>
      </c>
      <c r="P105" t="s">
        <v>536</v>
      </c>
      <c r="Q105">
        <v>1000</v>
      </c>
      <c r="W105">
        <v>0</v>
      </c>
      <c r="X105">
        <v>-33111211</v>
      </c>
      <c r="Y105">
        <v>1.2999999999999999E-2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 t="s">
        <v>3</v>
      </c>
      <c r="AT105">
        <v>1.2999999999999999E-2</v>
      </c>
      <c r="AU105" t="s">
        <v>3</v>
      </c>
      <c r="AV105">
        <v>0</v>
      </c>
      <c r="AW105">
        <v>2</v>
      </c>
      <c r="AX105">
        <v>48371684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Y105*Source!I78</f>
        <v>2.7299999999999998E-3</v>
      </c>
      <c r="CY105">
        <f>AA105</f>
        <v>0</v>
      </c>
      <c r="CZ105">
        <f>AE105</f>
        <v>0</v>
      </c>
      <c r="DA105">
        <f>AI105</f>
        <v>1</v>
      </c>
      <c r="DB105">
        <v>0</v>
      </c>
    </row>
    <row r="106" spans="1:106">
      <c r="A106">
        <f>ROW(Source!A80)</f>
        <v>80</v>
      </c>
      <c r="B106">
        <v>48370320</v>
      </c>
      <c r="C106">
        <v>48371074</v>
      </c>
      <c r="D106">
        <v>23129487</v>
      </c>
      <c r="E106">
        <v>1</v>
      </c>
      <c r="F106">
        <v>1</v>
      </c>
      <c r="G106">
        <v>1</v>
      </c>
      <c r="H106">
        <v>1</v>
      </c>
      <c r="I106" t="s">
        <v>631</v>
      </c>
      <c r="J106" t="s">
        <v>3</v>
      </c>
      <c r="K106" t="s">
        <v>632</v>
      </c>
      <c r="L106">
        <v>1369</v>
      </c>
      <c r="N106">
        <v>1013</v>
      </c>
      <c r="O106" t="s">
        <v>510</v>
      </c>
      <c r="P106" t="s">
        <v>510</v>
      </c>
      <c r="Q106">
        <v>1</v>
      </c>
      <c r="W106">
        <v>0</v>
      </c>
      <c r="X106">
        <v>2002501603</v>
      </c>
      <c r="Y106">
        <v>86.71</v>
      </c>
      <c r="AA106">
        <v>0</v>
      </c>
      <c r="AB106">
        <v>0</v>
      </c>
      <c r="AC106">
        <v>0</v>
      </c>
      <c r="AD106">
        <v>8.48</v>
      </c>
      <c r="AE106">
        <v>0</v>
      </c>
      <c r="AF106">
        <v>0</v>
      </c>
      <c r="AG106">
        <v>0</v>
      </c>
      <c r="AH106">
        <v>8.48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S106" t="s">
        <v>3</v>
      </c>
      <c r="AT106">
        <v>75.400000000000006</v>
      </c>
      <c r="AU106" t="s">
        <v>161</v>
      </c>
      <c r="AV106">
        <v>1</v>
      </c>
      <c r="AW106">
        <v>2</v>
      </c>
      <c r="AX106">
        <v>48371075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Y106*Source!I80</f>
        <v>18.209099999999999</v>
      </c>
      <c r="CY106">
        <f>AD106</f>
        <v>8.48</v>
      </c>
      <c r="CZ106">
        <f>AH106</f>
        <v>8.48</v>
      </c>
      <c r="DA106">
        <f>AL106</f>
        <v>1</v>
      </c>
      <c r="DB106">
        <v>0</v>
      </c>
    </row>
    <row r="107" spans="1:106">
      <c r="A107">
        <f>ROW(Source!A80)</f>
        <v>80</v>
      </c>
      <c r="B107">
        <v>48370320</v>
      </c>
      <c r="C107">
        <v>48371074</v>
      </c>
      <c r="D107">
        <v>121548</v>
      </c>
      <c r="E107">
        <v>1</v>
      </c>
      <c r="F107">
        <v>1</v>
      </c>
      <c r="G107">
        <v>1</v>
      </c>
      <c r="H107">
        <v>1</v>
      </c>
      <c r="I107" t="s">
        <v>24</v>
      </c>
      <c r="J107" t="s">
        <v>3</v>
      </c>
      <c r="K107" t="s">
        <v>511</v>
      </c>
      <c r="L107">
        <v>608254</v>
      </c>
      <c r="N107">
        <v>1013</v>
      </c>
      <c r="O107" t="s">
        <v>512</v>
      </c>
      <c r="P107" t="s">
        <v>512</v>
      </c>
      <c r="Q107">
        <v>1</v>
      </c>
      <c r="W107">
        <v>0</v>
      </c>
      <c r="X107">
        <v>-185737400</v>
      </c>
      <c r="Y107">
        <v>7.5875000000000004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S107" t="s">
        <v>3</v>
      </c>
      <c r="AT107">
        <v>6.07</v>
      </c>
      <c r="AU107" t="s">
        <v>160</v>
      </c>
      <c r="AV107">
        <v>2</v>
      </c>
      <c r="AW107">
        <v>2</v>
      </c>
      <c r="AX107">
        <v>48371076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Y107*Source!I80</f>
        <v>1.593375</v>
      </c>
      <c r="CY107">
        <f>AD107</f>
        <v>0</v>
      </c>
      <c r="CZ107">
        <f>AH107</f>
        <v>0</v>
      </c>
      <c r="DA107">
        <f>AL107</f>
        <v>1</v>
      </c>
      <c r="DB107">
        <v>0</v>
      </c>
    </row>
    <row r="108" spans="1:106">
      <c r="A108">
        <f>ROW(Source!A80)</f>
        <v>80</v>
      </c>
      <c r="B108">
        <v>48370320</v>
      </c>
      <c r="C108">
        <v>48371074</v>
      </c>
      <c r="D108">
        <v>37802578</v>
      </c>
      <c r="E108">
        <v>1</v>
      </c>
      <c r="F108">
        <v>1</v>
      </c>
      <c r="G108">
        <v>1</v>
      </c>
      <c r="H108">
        <v>2</v>
      </c>
      <c r="I108" t="s">
        <v>550</v>
      </c>
      <c r="J108" t="s">
        <v>551</v>
      </c>
      <c r="K108" t="s">
        <v>552</v>
      </c>
      <c r="L108">
        <v>1368</v>
      </c>
      <c r="N108">
        <v>1011</v>
      </c>
      <c r="O108" t="s">
        <v>516</v>
      </c>
      <c r="P108" t="s">
        <v>516</v>
      </c>
      <c r="Q108">
        <v>1</v>
      </c>
      <c r="W108">
        <v>0</v>
      </c>
      <c r="X108">
        <v>1753337916</v>
      </c>
      <c r="Y108">
        <v>0.77500000000000002</v>
      </c>
      <c r="AA108">
        <v>0</v>
      </c>
      <c r="AB108">
        <v>327.64</v>
      </c>
      <c r="AC108">
        <v>252.65</v>
      </c>
      <c r="AD108">
        <v>0</v>
      </c>
      <c r="AE108">
        <v>0</v>
      </c>
      <c r="AF108">
        <v>32.090000000000003</v>
      </c>
      <c r="AG108">
        <v>12.1</v>
      </c>
      <c r="AH108">
        <v>0</v>
      </c>
      <c r="AI108">
        <v>1</v>
      </c>
      <c r="AJ108">
        <v>10.210000000000001</v>
      </c>
      <c r="AK108">
        <v>20.88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S108" t="s">
        <v>3</v>
      </c>
      <c r="AT108">
        <v>0.62</v>
      </c>
      <c r="AU108" t="s">
        <v>160</v>
      </c>
      <c r="AV108">
        <v>0</v>
      </c>
      <c r="AW108">
        <v>2</v>
      </c>
      <c r="AX108">
        <v>48371077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Y108*Source!I80</f>
        <v>0.16275000000000001</v>
      </c>
      <c r="CY108">
        <f>AB108</f>
        <v>327.64</v>
      </c>
      <c r="CZ108">
        <f>AF108</f>
        <v>32.090000000000003</v>
      </c>
      <c r="DA108">
        <f>AJ108</f>
        <v>10.210000000000001</v>
      </c>
      <c r="DB108">
        <v>0</v>
      </c>
    </row>
    <row r="109" spans="1:106">
      <c r="A109">
        <f>ROW(Source!A80)</f>
        <v>80</v>
      </c>
      <c r="B109">
        <v>48370320</v>
      </c>
      <c r="C109">
        <v>48371074</v>
      </c>
      <c r="D109">
        <v>37803004</v>
      </c>
      <c r="E109">
        <v>1</v>
      </c>
      <c r="F109">
        <v>1</v>
      </c>
      <c r="G109">
        <v>1</v>
      </c>
      <c r="H109">
        <v>2</v>
      </c>
      <c r="I109" t="s">
        <v>633</v>
      </c>
      <c r="J109" t="s">
        <v>634</v>
      </c>
      <c r="K109" t="s">
        <v>635</v>
      </c>
      <c r="L109">
        <v>1368</v>
      </c>
      <c r="N109">
        <v>1011</v>
      </c>
      <c r="O109" t="s">
        <v>516</v>
      </c>
      <c r="P109" t="s">
        <v>516</v>
      </c>
      <c r="Q109">
        <v>1</v>
      </c>
      <c r="W109">
        <v>0</v>
      </c>
      <c r="X109">
        <v>-58296478</v>
      </c>
      <c r="Y109">
        <v>6.8125</v>
      </c>
      <c r="AA109">
        <v>0</v>
      </c>
      <c r="AB109">
        <v>231.58</v>
      </c>
      <c r="AC109">
        <v>167.04</v>
      </c>
      <c r="AD109">
        <v>0</v>
      </c>
      <c r="AE109">
        <v>0</v>
      </c>
      <c r="AF109">
        <v>14.75</v>
      </c>
      <c r="AG109">
        <v>8</v>
      </c>
      <c r="AH109">
        <v>0</v>
      </c>
      <c r="AI109">
        <v>1</v>
      </c>
      <c r="AJ109">
        <v>15.7</v>
      </c>
      <c r="AK109">
        <v>20.88</v>
      </c>
      <c r="AL109">
        <v>1</v>
      </c>
      <c r="AN109">
        <v>0</v>
      </c>
      <c r="AO109">
        <v>1</v>
      </c>
      <c r="AP109">
        <v>1</v>
      </c>
      <c r="AQ109">
        <v>0</v>
      </c>
      <c r="AR109">
        <v>0</v>
      </c>
      <c r="AS109" t="s">
        <v>3</v>
      </c>
      <c r="AT109">
        <v>5.45</v>
      </c>
      <c r="AU109" t="s">
        <v>160</v>
      </c>
      <c r="AV109">
        <v>0</v>
      </c>
      <c r="AW109">
        <v>2</v>
      </c>
      <c r="AX109">
        <v>48371078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Y109*Source!I80</f>
        <v>1.430625</v>
      </c>
      <c r="CY109">
        <f>AB109</f>
        <v>231.58</v>
      </c>
      <c r="CZ109">
        <f>AF109</f>
        <v>14.75</v>
      </c>
      <c r="DA109">
        <f>AJ109</f>
        <v>15.7</v>
      </c>
      <c r="DB109">
        <v>0</v>
      </c>
    </row>
    <row r="110" spans="1:106">
      <c r="A110">
        <f>ROW(Source!A80)</f>
        <v>80</v>
      </c>
      <c r="B110">
        <v>48370320</v>
      </c>
      <c r="C110">
        <v>48371074</v>
      </c>
      <c r="D110">
        <v>37736937</v>
      </c>
      <c r="E110">
        <v>1</v>
      </c>
      <c r="F110">
        <v>1</v>
      </c>
      <c r="G110">
        <v>1</v>
      </c>
      <c r="H110">
        <v>3</v>
      </c>
      <c r="I110" t="s">
        <v>636</v>
      </c>
      <c r="J110" t="s">
        <v>637</v>
      </c>
      <c r="K110" t="s">
        <v>638</v>
      </c>
      <c r="L110">
        <v>1348</v>
      </c>
      <c r="N110">
        <v>1009</v>
      </c>
      <c r="O110" t="s">
        <v>536</v>
      </c>
      <c r="P110" t="s">
        <v>536</v>
      </c>
      <c r="Q110">
        <v>1000</v>
      </c>
      <c r="W110">
        <v>0</v>
      </c>
      <c r="X110">
        <v>-844523691</v>
      </c>
      <c r="Y110">
        <v>6.9999999999999994E-5</v>
      </c>
      <c r="AA110">
        <v>47504.07</v>
      </c>
      <c r="AB110">
        <v>0</v>
      </c>
      <c r="AC110">
        <v>0</v>
      </c>
      <c r="AD110">
        <v>0</v>
      </c>
      <c r="AE110">
        <v>9153</v>
      </c>
      <c r="AF110">
        <v>0</v>
      </c>
      <c r="AG110">
        <v>0</v>
      </c>
      <c r="AH110">
        <v>0</v>
      </c>
      <c r="AI110">
        <v>5.19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6.9999999999999994E-5</v>
      </c>
      <c r="AU110" t="s">
        <v>3</v>
      </c>
      <c r="AV110">
        <v>0</v>
      </c>
      <c r="AW110">
        <v>2</v>
      </c>
      <c r="AX110">
        <v>48371079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Y110*Source!I80</f>
        <v>1.4699999999999998E-5</v>
      </c>
      <c r="CY110">
        <f>AA110</f>
        <v>47504.07</v>
      </c>
      <c r="CZ110">
        <f>AE110</f>
        <v>9153</v>
      </c>
      <c r="DA110">
        <f>AI110</f>
        <v>5.19</v>
      </c>
      <c r="DB110">
        <v>0</v>
      </c>
    </row>
    <row r="111" spans="1:106">
      <c r="A111">
        <f>ROW(Source!A80)</f>
        <v>80</v>
      </c>
      <c r="B111">
        <v>48370320</v>
      </c>
      <c r="C111">
        <v>48371074</v>
      </c>
      <c r="D111">
        <v>37735510</v>
      </c>
      <c r="E111">
        <v>1</v>
      </c>
      <c r="F111">
        <v>1</v>
      </c>
      <c r="G111">
        <v>1</v>
      </c>
      <c r="H111">
        <v>3</v>
      </c>
      <c r="I111" t="s">
        <v>639</v>
      </c>
      <c r="J111" t="s">
        <v>640</v>
      </c>
      <c r="K111" t="s">
        <v>641</v>
      </c>
      <c r="L111">
        <v>1327</v>
      </c>
      <c r="N111">
        <v>1005</v>
      </c>
      <c r="O111" t="s">
        <v>189</v>
      </c>
      <c r="P111" t="s">
        <v>189</v>
      </c>
      <c r="Q111">
        <v>1</v>
      </c>
      <c r="W111">
        <v>0</v>
      </c>
      <c r="X111">
        <v>1429608044</v>
      </c>
      <c r="Y111">
        <v>2.77</v>
      </c>
      <c r="AA111">
        <v>327.42</v>
      </c>
      <c r="AB111">
        <v>0</v>
      </c>
      <c r="AC111">
        <v>0</v>
      </c>
      <c r="AD111">
        <v>0</v>
      </c>
      <c r="AE111">
        <v>28.25</v>
      </c>
      <c r="AF111">
        <v>0</v>
      </c>
      <c r="AG111">
        <v>0</v>
      </c>
      <c r="AH111">
        <v>0</v>
      </c>
      <c r="AI111">
        <v>11.59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2.77</v>
      </c>
      <c r="AU111" t="s">
        <v>3</v>
      </c>
      <c r="AV111">
        <v>0</v>
      </c>
      <c r="AW111">
        <v>2</v>
      </c>
      <c r="AX111">
        <v>48371080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Y111*Source!I80</f>
        <v>0.58169999999999999</v>
      </c>
      <c r="CY111">
        <f>AA111</f>
        <v>327.42</v>
      </c>
      <c r="CZ111">
        <f>AE111</f>
        <v>28.25</v>
      </c>
      <c r="DA111">
        <f>AI111</f>
        <v>11.59</v>
      </c>
      <c r="DB111">
        <v>0</v>
      </c>
    </row>
    <row r="112" spans="1:106">
      <c r="A112">
        <f>ROW(Source!A80)</f>
        <v>80</v>
      </c>
      <c r="B112">
        <v>48370320</v>
      </c>
      <c r="C112">
        <v>48371074</v>
      </c>
      <c r="D112">
        <v>37768066</v>
      </c>
      <c r="E112">
        <v>1</v>
      </c>
      <c r="F112">
        <v>1</v>
      </c>
      <c r="G112">
        <v>1</v>
      </c>
      <c r="H112">
        <v>3</v>
      </c>
      <c r="I112" t="s">
        <v>642</v>
      </c>
      <c r="J112" t="s">
        <v>643</v>
      </c>
      <c r="K112" t="s">
        <v>644</v>
      </c>
      <c r="L112">
        <v>1339</v>
      </c>
      <c r="N112">
        <v>1007</v>
      </c>
      <c r="O112" t="s">
        <v>543</v>
      </c>
      <c r="P112" t="s">
        <v>543</v>
      </c>
      <c r="Q112">
        <v>1</v>
      </c>
      <c r="W112">
        <v>0</v>
      </c>
      <c r="X112">
        <v>-410080015</v>
      </c>
      <c r="Y112">
        <v>1.51</v>
      </c>
      <c r="AA112">
        <v>2960.58</v>
      </c>
      <c r="AB112">
        <v>0</v>
      </c>
      <c r="AC112">
        <v>0</v>
      </c>
      <c r="AD112">
        <v>0</v>
      </c>
      <c r="AE112">
        <v>399</v>
      </c>
      <c r="AF112">
        <v>0</v>
      </c>
      <c r="AG112">
        <v>0</v>
      </c>
      <c r="AH112">
        <v>0</v>
      </c>
      <c r="AI112">
        <v>7.42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1.51</v>
      </c>
      <c r="AU112" t="s">
        <v>3</v>
      </c>
      <c r="AV112">
        <v>0</v>
      </c>
      <c r="AW112">
        <v>2</v>
      </c>
      <c r="AX112">
        <v>48371081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Y112*Source!I80</f>
        <v>0.31709999999999999</v>
      </c>
      <c r="CY112">
        <f>AA112</f>
        <v>2960.58</v>
      </c>
      <c r="CZ112">
        <f>AE112</f>
        <v>399</v>
      </c>
      <c r="DA112">
        <f>AI112</f>
        <v>7.42</v>
      </c>
      <c r="DB112">
        <v>0</v>
      </c>
    </row>
    <row r="113" spans="1:106">
      <c r="A113">
        <f>ROW(Source!A80)</f>
        <v>80</v>
      </c>
      <c r="B113">
        <v>48370320</v>
      </c>
      <c r="C113">
        <v>48371074</v>
      </c>
      <c r="D113">
        <v>37777026</v>
      </c>
      <c r="E113">
        <v>1</v>
      </c>
      <c r="F113">
        <v>1</v>
      </c>
      <c r="G113">
        <v>1</v>
      </c>
      <c r="H113">
        <v>3</v>
      </c>
      <c r="I113" t="s">
        <v>645</v>
      </c>
      <c r="J113" t="s">
        <v>646</v>
      </c>
      <c r="K113" t="s">
        <v>647</v>
      </c>
      <c r="L113">
        <v>1348</v>
      </c>
      <c r="N113">
        <v>1009</v>
      </c>
      <c r="O113" t="s">
        <v>536</v>
      </c>
      <c r="P113" t="s">
        <v>536</v>
      </c>
      <c r="Q113">
        <v>1000</v>
      </c>
      <c r="W113">
        <v>0</v>
      </c>
      <c r="X113">
        <v>-1829182015</v>
      </c>
      <c r="Y113">
        <v>6.0000000000000001E-3</v>
      </c>
      <c r="AA113">
        <v>4138.99</v>
      </c>
      <c r="AB113">
        <v>0</v>
      </c>
      <c r="AC113">
        <v>0</v>
      </c>
      <c r="AD113">
        <v>0</v>
      </c>
      <c r="AE113">
        <v>729.98</v>
      </c>
      <c r="AF113">
        <v>0</v>
      </c>
      <c r="AG113">
        <v>0</v>
      </c>
      <c r="AH113">
        <v>0</v>
      </c>
      <c r="AI113">
        <v>5.67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6.0000000000000001E-3</v>
      </c>
      <c r="AU113" t="s">
        <v>3</v>
      </c>
      <c r="AV113">
        <v>0</v>
      </c>
      <c r="AW113">
        <v>2</v>
      </c>
      <c r="AX113">
        <v>48371082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Y113*Source!I80</f>
        <v>1.2600000000000001E-3</v>
      </c>
      <c r="CY113">
        <f>AA113</f>
        <v>4138.99</v>
      </c>
      <c r="CZ113">
        <f>AE113</f>
        <v>729.98</v>
      </c>
      <c r="DA113">
        <f>AI113</f>
        <v>5.67</v>
      </c>
      <c r="DB113">
        <v>0</v>
      </c>
    </row>
    <row r="114" spans="1:106">
      <c r="A114">
        <f>ROW(Source!A81)</f>
        <v>81</v>
      </c>
      <c r="B114">
        <v>48370320</v>
      </c>
      <c r="C114">
        <v>48371104</v>
      </c>
      <c r="D114">
        <v>23136905</v>
      </c>
      <c r="E114">
        <v>1</v>
      </c>
      <c r="F114">
        <v>1</v>
      </c>
      <c r="G114">
        <v>1</v>
      </c>
      <c r="H114">
        <v>1</v>
      </c>
      <c r="I114" t="s">
        <v>648</v>
      </c>
      <c r="J114" t="s">
        <v>3</v>
      </c>
      <c r="K114" t="s">
        <v>649</v>
      </c>
      <c r="L114">
        <v>1369</v>
      </c>
      <c r="N114">
        <v>1013</v>
      </c>
      <c r="O114" t="s">
        <v>510</v>
      </c>
      <c r="P114" t="s">
        <v>510</v>
      </c>
      <c r="Q114">
        <v>1</v>
      </c>
      <c r="W114">
        <v>0</v>
      </c>
      <c r="X114">
        <v>1351218007</v>
      </c>
      <c r="Y114">
        <v>183.62049999999996</v>
      </c>
      <c r="AA114">
        <v>0</v>
      </c>
      <c r="AB114">
        <v>0</v>
      </c>
      <c r="AC114">
        <v>0</v>
      </c>
      <c r="AD114">
        <v>8.58</v>
      </c>
      <c r="AE114">
        <v>0</v>
      </c>
      <c r="AF114">
        <v>0</v>
      </c>
      <c r="AG114">
        <v>0</v>
      </c>
      <c r="AH114">
        <v>8.58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3</v>
      </c>
      <c r="AT114">
        <v>159.66999999999999</v>
      </c>
      <c r="AU114" t="s">
        <v>161</v>
      </c>
      <c r="AV114">
        <v>1</v>
      </c>
      <c r="AW114">
        <v>2</v>
      </c>
      <c r="AX114">
        <v>48371105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Y114*Source!I81</f>
        <v>38.560304999999993</v>
      </c>
      <c r="CY114">
        <f>AD114</f>
        <v>8.58</v>
      </c>
      <c r="CZ114">
        <f>AH114</f>
        <v>8.58</v>
      </c>
      <c r="DA114">
        <f>AL114</f>
        <v>1</v>
      </c>
      <c r="DB114">
        <v>0</v>
      </c>
    </row>
    <row r="115" spans="1:106">
      <c r="A115">
        <f>ROW(Source!A81)</f>
        <v>81</v>
      </c>
      <c r="B115">
        <v>48370320</v>
      </c>
      <c r="C115">
        <v>48371104</v>
      </c>
      <c r="D115">
        <v>121548</v>
      </c>
      <c r="E115">
        <v>1</v>
      </c>
      <c r="F115">
        <v>1</v>
      </c>
      <c r="G115">
        <v>1</v>
      </c>
      <c r="H115">
        <v>1</v>
      </c>
      <c r="I115" t="s">
        <v>24</v>
      </c>
      <c r="J115" t="s">
        <v>3</v>
      </c>
      <c r="K115" t="s">
        <v>511</v>
      </c>
      <c r="L115">
        <v>608254</v>
      </c>
      <c r="N115">
        <v>1013</v>
      </c>
      <c r="O115" t="s">
        <v>512</v>
      </c>
      <c r="P115" t="s">
        <v>512</v>
      </c>
      <c r="Q115">
        <v>1</v>
      </c>
      <c r="W115">
        <v>0</v>
      </c>
      <c r="X115">
        <v>-185737400</v>
      </c>
      <c r="Y115">
        <v>2.0625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3</v>
      </c>
      <c r="AT115">
        <v>1.65</v>
      </c>
      <c r="AU115" t="s">
        <v>160</v>
      </c>
      <c r="AV115">
        <v>2</v>
      </c>
      <c r="AW115">
        <v>2</v>
      </c>
      <c r="AX115">
        <v>48371106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Y115*Source!I81</f>
        <v>0.43312499999999998</v>
      </c>
      <c r="CY115">
        <f>AD115</f>
        <v>0</v>
      </c>
      <c r="CZ115">
        <f>AH115</f>
        <v>0</v>
      </c>
      <c r="DA115">
        <f>AL115</f>
        <v>1</v>
      </c>
      <c r="DB115">
        <v>0</v>
      </c>
    </row>
    <row r="116" spans="1:106">
      <c r="A116">
        <f>ROW(Source!A81)</f>
        <v>81</v>
      </c>
      <c r="B116">
        <v>48370320</v>
      </c>
      <c r="C116">
        <v>48371104</v>
      </c>
      <c r="D116">
        <v>37802515</v>
      </c>
      <c r="E116">
        <v>1</v>
      </c>
      <c r="F116">
        <v>1</v>
      </c>
      <c r="G116">
        <v>1</v>
      </c>
      <c r="H116">
        <v>2</v>
      </c>
      <c r="I116" t="s">
        <v>650</v>
      </c>
      <c r="J116" t="s">
        <v>651</v>
      </c>
      <c r="K116" t="s">
        <v>652</v>
      </c>
      <c r="L116">
        <v>1368</v>
      </c>
      <c r="N116">
        <v>1011</v>
      </c>
      <c r="O116" t="s">
        <v>516</v>
      </c>
      <c r="P116" t="s">
        <v>516</v>
      </c>
      <c r="Q116">
        <v>1</v>
      </c>
      <c r="W116">
        <v>0</v>
      </c>
      <c r="X116">
        <v>-674318163</v>
      </c>
      <c r="Y116">
        <v>0.1</v>
      </c>
      <c r="AA116">
        <v>0</v>
      </c>
      <c r="AB116">
        <v>690.07</v>
      </c>
      <c r="AC116">
        <v>187.92</v>
      </c>
      <c r="AD116">
        <v>0</v>
      </c>
      <c r="AE116">
        <v>0</v>
      </c>
      <c r="AF116">
        <v>87.24</v>
      </c>
      <c r="AG116">
        <v>9</v>
      </c>
      <c r="AH116">
        <v>0</v>
      </c>
      <c r="AI116">
        <v>1</v>
      </c>
      <c r="AJ116">
        <v>7.91</v>
      </c>
      <c r="AK116">
        <v>20.88</v>
      </c>
      <c r="AL116">
        <v>1</v>
      </c>
      <c r="AN116">
        <v>0</v>
      </c>
      <c r="AO116">
        <v>1</v>
      </c>
      <c r="AP116">
        <v>1</v>
      </c>
      <c r="AQ116">
        <v>0</v>
      </c>
      <c r="AR116">
        <v>0</v>
      </c>
      <c r="AS116" t="s">
        <v>3</v>
      </c>
      <c r="AT116">
        <v>0.08</v>
      </c>
      <c r="AU116" t="s">
        <v>160</v>
      </c>
      <c r="AV116">
        <v>0</v>
      </c>
      <c r="AW116">
        <v>2</v>
      </c>
      <c r="AX116">
        <v>48371107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Y116*Source!I81</f>
        <v>2.1000000000000001E-2</v>
      </c>
      <c r="CY116">
        <f>AB116</f>
        <v>690.07</v>
      </c>
      <c r="CZ116">
        <f>AF116</f>
        <v>87.24</v>
      </c>
      <c r="DA116">
        <f>AJ116</f>
        <v>7.91</v>
      </c>
      <c r="DB116">
        <v>0</v>
      </c>
    </row>
    <row r="117" spans="1:106">
      <c r="A117">
        <f>ROW(Source!A81)</f>
        <v>81</v>
      </c>
      <c r="B117">
        <v>48370320</v>
      </c>
      <c r="C117">
        <v>48371104</v>
      </c>
      <c r="D117">
        <v>37802578</v>
      </c>
      <c r="E117">
        <v>1</v>
      </c>
      <c r="F117">
        <v>1</v>
      </c>
      <c r="G117">
        <v>1</v>
      </c>
      <c r="H117">
        <v>2</v>
      </c>
      <c r="I117" t="s">
        <v>550</v>
      </c>
      <c r="J117" t="s">
        <v>551</v>
      </c>
      <c r="K117" t="s">
        <v>552</v>
      </c>
      <c r="L117">
        <v>1368</v>
      </c>
      <c r="N117">
        <v>1011</v>
      </c>
      <c r="O117" t="s">
        <v>516</v>
      </c>
      <c r="P117" t="s">
        <v>516</v>
      </c>
      <c r="Q117">
        <v>1</v>
      </c>
      <c r="W117">
        <v>0</v>
      </c>
      <c r="X117">
        <v>1753337916</v>
      </c>
      <c r="Y117">
        <v>0.33750000000000002</v>
      </c>
      <c r="AA117">
        <v>0</v>
      </c>
      <c r="AB117">
        <v>327.64</v>
      </c>
      <c r="AC117">
        <v>252.65</v>
      </c>
      <c r="AD117">
        <v>0</v>
      </c>
      <c r="AE117">
        <v>0</v>
      </c>
      <c r="AF117">
        <v>32.090000000000003</v>
      </c>
      <c r="AG117">
        <v>12.1</v>
      </c>
      <c r="AH117">
        <v>0</v>
      </c>
      <c r="AI117">
        <v>1</v>
      </c>
      <c r="AJ117">
        <v>10.210000000000001</v>
      </c>
      <c r="AK117">
        <v>20.88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S117" t="s">
        <v>3</v>
      </c>
      <c r="AT117">
        <v>0.27</v>
      </c>
      <c r="AU117" t="s">
        <v>160</v>
      </c>
      <c r="AV117">
        <v>0</v>
      </c>
      <c r="AW117">
        <v>2</v>
      </c>
      <c r="AX117">
        <v>48371108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Y117*Source!I81</f>
        <v>7.0875000000000007E-2</v>
      </c>
      <c r="CY117">
        <f>AB117</f>
        <v>327.64</v>
      </c>
      <c r="CZ117">
        <f>AF117</f>
        <v>32.090000000000003</v>
      </c>
      <c r="DA117">
        <f>AJ117</f>
        <v>10.210000000000001</v>
      </c>
      <c r="DB117">
        <v>0</v>
      </c>
    </row>
    <row r="118" spans="1:106">
      <c r="A118">
        <f>ROW(Source!A81)</f>
        <v>81</v>
      </c>
      <c r="B118">
        <v>48370320</v>
      </c>
      <c r="C118">
        <v>48371104</v>
      </c>
      <c r="D118">
        <v>37802992</v>
      </c>
      <c r="E118">
        <v>1</v>
      </c>
      <c r="F118">
        <v>1</v>
      </c>
      <c r="G118">
        <v>1</v>
      </c>
      <c r="H118">
        <v>2</v>
      </c>
      <c r="I118" t="s">
        <v>653</v>
      </c>
      <c r="J118" t="s">
        <v>654</v>
      </c>
      <c r="K118" t="s">
        <v>655</v>
      </c>
      <c r="L118">
        <v>1368</v>
      </c>
      <c r="N118">
        <v>1011</v>
      </c>
      <c r="O118" t="s">
        <v>516</v>
      </c>
      <c r="P118" t="s">
        <v>516</v>
      </c>
      <c r="Q118">
        <v>1</v>
      </c>
      <c r="W118">
        <v>0</v>
      </c>
      <c r="X118">
        <v>1801551115</v>
      </c>
      <c r="Y118">
        <v>1.625</v>
      </c>
      <c r="AA118">
        <v>0</v>
      </c>
      <c r="AB118">
        <v>207.72</v>
      </c>
      <c r="AC118">
        <v>187.92</v>
      </c>
      <c r="AD118">
        <v>0</v>
      </c>
      <c r="AE118">
        <v>0</v>
      </c>
      <c r="AF118">
        <v>11.32</v>
      </c>
      <c r="AG118">
        <v>9</v>
      </c>
      <c r="AH118">
        <v>0</v>
      </c>
      <c r="AI118">
        <v>1</v>
      </c>
      <c r="AJ118">
        <v>18.350000000000001</v>
      </c>
      <c r="AK118">
        <v>20.88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S118" t="s">
        <v>3</v>
      </c>
      <c r="AT118">
        <v>1.3</v>
      </c>
      <c r="AU118" t="s">
        <v>160</v>
      </c>
      <c r="AV118">
        <v>0</v>
      </c>
      <c r="AW118">
        <v>2</v>
      </c>
      <c r="AX118">
        <v>48371109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Y118*Source!I81</f>
        <v>0.34125</v>
      </c>
      <c r="CY118">
        <f>AB118</f>
        <v>207.72</v>
      </c>
      <c r="CZ118">
        <f>AF118</f>
        <v>11.32</v>
      </c>
      <c r="DA118">
        <f>AJ118</f>
        <v>18.350000000000001</v>
      </c>
      <c r="DB118">
        <v>0</v>
      </c>
    </row>
    <row r="119" spans="1:106">
      <c r="A119">
        <f>ROW(Source!A81)</f>
        <v>81</v>
      </c>
      <c r="B119">
        <v>48370320</v>
      </c>
      <c r="C119">
        <v>48371104</v>
      </c>
      <c r="D119">
        <v>37732053</v>
      </c>
      <c r="E119">
        <v>1</v>
      </c>
      <c r="F119">
        <v>1</v>
      </c>
      <c r="G119">
        <v>1</v>
      </c>
      <c r="H119">
        <v>3</v>
      </c>
      <c r="I119" t="s">
        <v>187</v>
      </c>
      <c r="J119" t="s">
        <v>190</v>
      </c>
      <c r="K119" t="s">
        <v>188</v>
      </c>
      <c r="L119">
        <v>1327</v>
      </c>
      <c r="N119">
        <v>1005</v>
      </c>
      <c r="O119" t="s">
        <v>189</v>
      </c>
      <c r="P119" t="s">
        <v>189</v>
      </c>
      <c r="Q119">
        <v>1</v>
      </c>
      <c r="W119">
        <v>1</v>
      </c>
      <c r="X119">
        <v>-1026179426</v>
      </c>
      <c r="Y119">
        <v>-100</v>
      </c>
      <c r="AA119">
        <v>257.04000000000002</v>
      </c>
      <c r="AB119">
        <v>0</v>
      </c>
      <c r="AC119">
        <v>0</v>
      </c>
      <c r="AD119">
        <v>0</v>
      </c>
      <c r="AE119">
        <v>68</v>
      </c>
      <c r="AF119">
        <v>0</v>
      </c>
      <c r="AG119">
        <v>0</v>
      </c>
      <c r="AH119">
        <v>0</v>
      </c>
      <c r="AI119">
        <v>3.78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-100</v>
      </c>
      <c r="AU119" t="s">
        <v>3</v>
      </c>
      <c r="AV119">
        <v>0</v>
      </c>
      <c r="AW119">
        <v>2</v>
      </c>
      <c r="AX119">
        <v>48371110</v>
      </c>
      <c r="AY119">
        <v>1</v>
      </c>
      <c r="AZ119">
        <v>6144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Y119*Source!I81</f>
        <v>-21</v>
      </c>
      <c r="CY119">
        <f>AA119</f>
        <v>257.04000000000002</v>
      </c>
      <c r="CZ119">
        <f>AE119</f>
        <v>68</v>
      </c>
      <c r="DA119">
        <f>AI119</f>
        <v>3.78</v>
      </c>
      <c r="DB119">
        <v>0</v>
      </c>
    </row>
    <row r="120" spans="1:106">
      <c r="A120">
        <f>ROW(Source!A81)</f>
        <v>81</v>
      </c>
      <c r="B120">
        <v>48370320</v>
      </c>
      <c r="C120">
        <v>48371104</v>
      </c>
      <c r="D120">
        <v>37729991</v>
      </c>
      <c r="E120">
        <v>1</v>
      </c>
      <c r="F120">
        <v>1</v>
      </c>
      <c r="G120">
        <v>1</v>
      </c>
      <c r="H120">
        <v>3</v>
      </c>
      <c r="I120" t="s">
        <v>625</v>
      </c>
      <c r="J120" t="s">
        <v>626</v>
      </c>
      <c r="K120" t="s">
        <v>627</v>
      </c>
      <c r="L120">
        <v>1346</v>
      </c>
      <c r="N120">
        <v>1009</v>
      </c>
      <c r="O120" t="s">
        <v>172</v>
      </c>
      <c r="P120" t="s">
        <v>172</v>
      </c>
      <c r="Q120">
        <v>1</v>
      </c>
      <c r="W120">
        <v>0</v>
      </c>
      <c r="X120">
        <v>844235703</v>
      </c>
      <c r="Y120">
        <v>0.5</v>
      </c>
      <c r="AA120">
        <v>26.15</v>
      </c>
      <c r="AB120">
        <v>0</v>
      </c>
      <c r="AC120">
        <v>0</v>
      </c>
      <c r="AD120">
        <v>0</v>
      </c>
      <c r="AE120">
        <v>1.82</v>
      </c>
      <c r="AF120">
        <v>0</v>
      </c>
      <c r="AG120">
        <v>0</v>
      </c>
      <c r="AH120">
        <v>0</v>
      </c>
      <c r="AI120">
        <v>14.37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0.5</v>
      </c>
      <c r="AU120" t="s">
        <v>3</v>
      </c>
      <c r="AV120">
        <v>0</v>
      </c>
      <c r="AW120">
        <v>2</v>
      </c>
      <c r="AX120">
        <v>48371111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Y120*Source!I81</f>
        <v>0.105</v>
      </c>
      <c r="CY120">
        <f>AA120</f>
        <v>26.15</v>
      </c>
      <c r="CZ120">
        <f>AE120</f>
        <v>1.82</v>
      </c>
      <c r="DA120">
        <f>AI120</f>
        <v>14.37</v>
      </c>
      <c r="DB120">
        <v>0</v>
      </c>
    </row>
    <row r="121" spans="1:106">
      <c r="A121">
        <f>ROW(Source!A81)</f>
        <v>81</v>
      </c>
      <c r="B121">
        <v>48370320</v>
      </c>
      <c r="C121">
        <v>48371104</v>
      </c>
      <c r="D121">
        <v>37731581</v>
      </c>
      <c r="E121">
        <v>1</v>
      </c>
      <c r="F121">
        <v>1</v>
      </c>
      <c r="G121">
        <v>1</v>
      </c>
      <c r="H121">
        <v>3</v>
      </c>
      <c r="I121" t="s">
        <v>656</v>
      </c>
      <c r="J121" t="s">
        <v>657</v>
      </c>
      <c r="K121" t="s">
        <v>658</v>
      </c>
      <c r="L121">
        <v>1348</v>
      </c>
      <c r="N121">
        <v>1009</v>
      </c>
      <c r="O121" t="s">
        <v>536</v>
      </c>
      <c r="P121" t="s">
        <v>536</v>
      </c>
      <c r="Q121">
        <v>1000</v>
      </c>
      <c r="W121">
        <v>0</v>
      </c>
      <c r="X121">
        <v>147652944</v>
      </c>
      <c r="Y121">
        <v>0.375</v>
      </c>
      <c r="AA121">
        <v>14345.02</v>
      </c>
      <c r="AB121">
        <v>0</v>
      </c>
      <c r="AC121">
        <v>0</v>
      </c>
      <c r="AD121">
        <v>0</v>
      </c>
      <c r="AE121">
        <v>4929.5600000000004</v>
      </c>
      <c r="AF121">
        <v>0</v>
      </c>
      <c r="AG121">
        <v>0</v>
      </c>
      <c r="AH121">
        <v>0</v>
      </c>
      <c r="AI121">
        <v>2.91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0.375</v>
      </c>
      <c r="AU121" t="s">
        <v>3</v>
      </c>
      <c r="AV121">
        <v>0</v>
      </c>
      <c r="AW121">
        <v>2</v>
      </c>
      <c r="AX121">
        <v>48371112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Y121*Source!I81</f>
        <v>7.8750000000000001E-2</v>
      </c>
      <c r="CY121">
        <f>AA121</f>
        <v>14345.02</v>
      </c>
      <c r="CZ121">
        <f>AE121</f>
        <v>4929.5600000000004</v>
      </c>
      <c r="DA121">
        <f>AI121</f>
        <v>2.91</v>
      </c>
      <c r="DB121">
        <v>0</v>
      </c>
    </row>
    <row r="122" spans="1:106">
      <c r="A122">
        <f>ROW(Source!A81)</f>
        <v>81</v>
      </c>
      <c r="B122">
        <v>48370320</v>
      </c>
      <c r="C122">
        <v>48371104</v>
      </c>
      <c r="D122">
        <v>37768198</v>
      </c>
      <c r="E122">
        <v>1</v>
      </c>
      <c r="F122">
        <v>1</v>
      </c>
      <c r="G122">
        <v>1</v>
      </c>
      <c r="H122">
        <v>3</v>
      </c>
      <c r="I122" t="s">
        <v>659</v>
      </c>
      <c r="J122" t="s">
        <v>660</v>
      </c>
      <c r="K122" t="s">
        <v>661</v>
      </c>
      <c r="L122">
        <v>1348</v>
      </c>
      <c r="N122">
        <v>1009</v>
      </c>
      <c r="O122" t="s">
        <v>536</v>
      </c>
      <c r="P122" t="s">
        <v>536</v>
      </c>
      <c r="Q122">
        <v>1000</v>
      </c>
      <c r="W122">
        <v>0</v>
      </c>
      <c r="X122">
        <v>158175327</v>
      </c>
      <c r="Y122">
        <v>0.05</v>
      </c>
      <c r="AA122">
        <v>30784.95</v>
      </c>
      <c r="AB122">
        <v>0</v>
      </c>
      <c r="AC122">
        <v>0</v>
      </c>
      <c r="AD122">
        <v>0</v>
      </c>
      <c r="AE122">
        <v>9135</v>
      </c>
      <c r="AF122">
        <v>0</v>
      </c>
      <c r="AG122">
        <v>0</v>
      </c>
      <c r="AH122">
        <v>0</v>
      </c>
      <c r="AI122">
        <v>3.37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0.05</v>
      </c>
      <c r="AU122" t="s">
        <v>3</v>
      </c>
      <c r="AV122">
        <v>0</v>
      </c>
      <c r="AW122">
        <v>2</v>
      </c>
      <c r="AX122">
        <v>48371113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Y122*Source!I81</f>
        <v>1.0500000000000001E-2</v>
      </c>
      <c r="CY122">
        <f>AA122</f>
        <v>30784.95</v>
      </c>
      <c r="CZ122">
        <f>AE122</f>
        <v>9135</v>
      </c>
      <c r="DA122">
        <f>AI122</f>
        <v>3.37</v>
      </c>
      <c r="DB122">
        <v>0</v>
      </c>
    </row>
    <row r="123" spans="1:106">
      <c r="A123">
        <f>ROW(Source!A81)</f>
        <v>81</v>
      </c>
      <c r="B123">
        <v>48370320</v>
      </c>
      <c r="C123">
        <v>48371104</v>
      </c>
      <c r="D123">
        <v>37777802</v>
      </c>
      <c r="E123">
        <v>1</v>
      </c>
      <c r="F123">
        <v>1</v>
      </c>
      <c r="G123">
        <v>1</v>
      </c>
      <c r="H123">
        <v>3</v>
      </c>
      <c r="I123" t="s">
        <v>616</v>
      </c>
      <c r="J123" t="s">
        <v>617</v>
      </c>
      <c r="K123" t="s">
        <v>618</v>
      </c>
      <c r="L123">
        <v>1339</v>
      </c>
      <c r="N123">
        <v>1007</v>
      </c>
      <c r="O123" t="s">
        <v>543</v>
      </c>
      <c r="P123" t="s">
        <v>543</v>
      </c>
      <c r="Q123">
        <v>1</v>
      </c>
      <c r="W123">
        <v>0</v>
      </c>
      <c r="X123">
        <v>-1418712732</v>
      </c>
      <c r="Y123">
        <v>0.93</v>
      </c>
      <c r="AA123">
        <v>45.55</v>
      </c>
      <c r="AB123">
        <v>0</v>
      </c>
      <c r="AC123">
        <v>0</v>
      </c>
      <c r="AD123">
        <v>0</v>
      </c>
      <c r="AE123">
        <v>2.4700000000000002</v>
      </c>
      <c r="AF123">
        <v>0</v>
      </c>
      <c r="AG123">
        <v>0</v>
      </c>
      <c r="AH123">
        <v>0</v>
      </c>
      <c r="AI123">
        <v>18.440000000000001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0.93</v>
      </c>
      <c r="AU123" t="s">
        <v>3</v>
      </c>
      <c r="AV123">
        <v>0</v>
      </c>
      <c r="AW123">
        <v>2</v>
      </c>
      <c r="AX123">
        <v>48371114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Y123*Source!I81</f>
        <v>0.1953</v>
      </c>
      <c r="CY123">
        <f>AA123</f>
        <v>45.55</v>
      </c>
      <c r="CZ123">
        <f>AE123</f>
        <v>2.4700000000000002</v>
      </c>
      <c r="DA123">
        <f>AI123</f>
        <v>18.440000000000001</v>
      </c>
      <c r="DB123">
        <v>0</v>
      </c>
    </row>
    <row r="124" spans="1:106">
      <c r="A124">
        <f>ROW(Source!A84)</f>
        <v>84</v>
      </c>
      <c r="B124">
        <v>48370320</v>
      </c>
      <c r="C124">
        <v>48371120</v>
      </c>
      <c r="D124">
        <v>23134955</v>
      </c>
      <c r="E124">
        <v>1</v>
      </c>
      <c r="F124">
        <v>1</v>
      </c>
      <c r="G124">
        <v>1</v>
      </c>
      <c r="H124">
        <v>1</v>
      </c>
      <c r="I124" t="s">
        <v>662</v>
      </c>
      <c r="J124" t="s">
        <v>3</v>
      </c>
      <c r="K124" t="s">
        <v>663</v>
      </c>
      <c r="L124">
        <v>1369</v>
      </c>
      <c r="N124">
        <v>1013</v>
      </c>
      <c r="O124" t="s">
        <v>510</v>
      </c>
      <c r="P124" t="s">
        <v>510</v>
      </c>
      <c r="Q124">
        <v>1</v>
      </c>
      <c r="W124">
        <v>0</v>
      </c>
      <c r="X124">
        <v>-1698459243</v>
      </c>
      <c r="Y124">
        <v>356.983</v>
      </c>
      <c r="AA124">
        <v>0</v>
      </c>
      <c r="AB124">
        <v>0</v>
      </c>
      <c r="AC124">
        <v>0</v>
      </c>
      <c r="AD124">
        <v>8.17</v>
      </c>
      <c r="AE124">
        <v>0</v>
      </c>
      <c r="AF124">
        <v>0</v>
      </c>
      <c r="AG124">
        <v>0</v>
      </c>
      <c r="AH124">
        <v>8.17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1</v>
      </c>
      <c r="AQ124">
        <v>0</v>
      </c>
      <c r="AR124">
        <v>0</v>
      </c>
      <c r="AS124" t="s">
        <v>3</v>
      </c>
      <c r="AT124">
        <v>310.42</v>
      </c>
      <c r="AU124" t="s">
        <v>161</v>
      </c>
      <c r="AV124">
        <v>1</v>
      </c>
      <c r="AW124">
        <v>2</v>
      </c>
      <c r="AX124">
        <v>48371121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Y124*Source!I84</f>
        <v>14.4221132</v>
      </c>
      <c r="CY124">
        <f>AD124</f>
        <v>8.17</v>
      </c>
      <c r="CZ124">
        <f>AH124</f>
        <v>8.17</v>
      </c>
      <c r="DA124">
        <f>AL124</f>
        <v>1</v>
      </c>
      <c r="DB124">
        <v>0</v>
      </c>
    </row>
    <row r="125" spans="1:106">
      <c r="A125">
        <f>ROW(Source!A84)</f>
        <v>84</v>
      </c>
      <c r="B125">
        <v>48370320</v>
      </c>
      <c r="C125">
        <v>48371120</v>
      </c>
      <c r="D125">
        <v>121548</v>
      </c>
      <c r="E125">
        <v>1</v>
      </c>
      <c r="F125">
        <v>1</v>
      </c>
      <c r="G125">
        <v>1</v>
      </c>
      <c r="H125">
        <v>1</v>
      </c>
      <c r="I125" t="s">
        <v>24</v>
      </c>
      <c r="J125" t="s">
        <v>3</v>
      </c>
      <c r="K125" t="s">
        <v>511</v>
      </c>
      <c r="L125">
        <v>608254</v>
      </c>
      <c r="N125">
        <v>1013</v>
      </c>
      <c r="O125" t="s">
        <v>512</v>
      </c>
      <c r="P125" t="s">
        <v>512</v>
      </c>
      <c r="Q125">
        <v>1</v>
      </c>
      <c r="W125">
        <v>0</v>
      </c>
      <c r="X125">
        <v>-185737400</v>
      </c>
      <c r="Y125">
        <v>2.15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S125" t="s">
        <v>3</v>
      </c>
      <c r="AT125">
        <v>1.72</v>
      </c>
      <c r="AU125" t="s">
        <v>160</v>
      </c>
      <c r="AV125">
        <v>2</v>
      </c>
      <c r="AW125">
        <v>2</v>
      </c>
      <c r="AX125">
        <v>48371122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Y125*Source!I84</f>
        <v>8.6859999999999993E-2</v>
      </c>
      <c r="CY125">
        <f>AD125</f>
        <v>0</v>
      </c>
      <c r="CZ125">
        <f>AH125</f>
        <v>0</v>
      </c>
      <c r="DA125">
        <f>AL125</f>
        <v>1</v>
      </c>
      <c r="DB125">
        <v>0</v>
      </c>
    </row>
    <row r="126" spans="1:106">
      <c r="A126">
        <f>ROW(Source!A84)</f>
        <v>84</v>
      </c>
      <c r="B126">
        <v>48370320</v>
      </c>
      <c r="C126">
        <v>48371120</v>
      </c>
      <c r="D126">
        <v>37802358</v>
      </c>
      <c r="E126">
        <v>1</v>
      </c>
      <c r="F126">
        <v>1</v>
      </c>
      <c r="G126">
        <v>1</v>
      </c>
      <c r="H126">
        <v>2</v>
      </c>
      <c r="I126" t="s">
        <v>664</v>
      </c>
      <c r="J126" t="s">
        <v>665</v>
      </c>
      <c r="K126" t="s">
        <v>666</v>
      </c>
      <c r="L126">
        <v>1368</v>
      </c>
      <c r="N126">
        <v>1011</v>
      </c>
      <c r="O126" t="s">
        <v>516</v>
      </c>
      <c r="P126" t="s">
        <v>516</v>
      </c>
      <c r="Q126">
        <v>1</v>
      </c>
      <c r="W126">
        <v>0</v>
      </c>
      <c r="X126">
        <v>-1039981432</v>
      </c>
      <c r="Y126">
        <v>2.5000000000000001E-2</v>
      </c>
      <c r="AA126">
        <v>0</v>
      </c>
      <c r="AB126">
        <v>553.82000000000005</v>
      </c>
      <c r="AC126">
        <v>252.65</v>
      </c>
      <c r="AD126">
        <v>0</v>
      </c>
      <c r="AE126">
        <v>0</v>
      </c>
      <c r="AF126">
        <v>100.33</v>
      </c>
      <c r="AG126">
        <v>12.1</v>
      </c>
      <c r="AH126">
        <v>0</v>
      </c>
      <c r="AI126">
        <v>1</v>
      </c>
      <c r="AJ126">
        <v>5.52</v>
      </c>
      <c r="AK126">
        <v>20.88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S126" t="s">
        <v>3</v>
      </c>
      <c r="AT126">
        <v>0.02</v>
      </c>
      <c r="AU126" t="s">
        <v>160</v>
      </c>
      <c r="AV126">
        <v>0</v>
      </c>
      <c r="AW126">
        <v>2</v>
      </c>
      <c r="AX126">
        <v>48371123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Y126*Source!I84</f>
        <v>1.01E-3</v>
      </c>
      <c r="CY126">
        <f>AB126</f>
        <v>553.82000000000005</v>
      </c>
      <c r="CZ126">
        <f>AF126</f>
        <v>100.33</v>
      </c>
      <c r="DA126">
        <f>AJ126</f>
        <v>5.52</v>
      </c>
      <c r="DB126">
        <v>0</v>
      </c>
    </row>
    <row r="127" spans="1:106">
      <c r="A127">
        <f>ROW(Source!A84)</f>
        <v>84</v>
      </c>
      <c r="B127">
        <v>48370320</v>
      </c>
      <c r="C127">
        <v>48371120</v>
      </c>
      <c r="D127">
        <v>37802442</v>
      </c>
      <c r="E127">
        <v>1</v>
      </c>
      <c r="F127">
        <v>1</v>
      </c>
      <c r="G127">
        <v>1</v>
      </c>
      <c r="H127">
        <v>2</v>
      </c>
      <c r="I127" t="s">
        <v>667</v>
      </c>
      <c r="J127" t="s">
        <v>668</v>
      </c>
      <c r="K127" t="s">
        <v>669</v>
      </c>
      <c r="L127">
        <v>1368</v>
      </c>
      <c r="N127">
        <v>1011</v>
      </c>
      <c r="O127" t="s">
        <v>516</v>
      </c>
      <c r="P127" t="s">
        <v>516</v>
      </c>
      <c r="Q127">
        <v>1</v>
      </c>
      <c r="W127">
        <v>0</v>
      </c>
      <c r="X127">
        <v>70398099</v>
      </c>
      <c r="Y127">
        <v>1.2500000000000001E-2</v>
      </c>
      <c r="AA127">
        <v>0</v>
      </c>
      <c r="AB127">
        <v>773.83</v>
      </c>
      <c r="AC127">
        <v>216.11</v>
      </c>
      <c r="AD127">
        <v>0</v>
      </c>
      <c r="AE127">
        <v>0</v>
      </c>
      <c r="AF127">
        <v>104.01</v>
      </c>
      <c r="AG127">
        <v>10.35</v>
      </c>
      <c r="AH127">
        <v>0</v>
      </c>
      <c r="AI127">
        <v>1</v>
      </c>
      <c r="AJ127">
        <v>7.44</v>
      </c>
      <c r="AK127">
        <v>20.88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S127" t="s">
        <v>3</v>
      </c>
      <c r="AT127">
        <v>0.01</v>
      </c>
      <c r="AU127" t="s">
        <v>160</v>
      </c>
      <c r="AV127">
        <v>0</v>
      </c>
      <c r="AW127">
        <v>2</v>
      </c>
      <c r="AX127">
        <v>48371124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Y127*Source!I84</f>
        <v>5.0500000000000002E-4</v>
      </c>
      <c r="CY127">
        <f>AB127</f>
        <v>773.83</v>
      </c>
      <c r="CZ127">
        <f>AF127</f>
        <v>104.01</v>
      </c>
      <c r="DA127">
        <f>AJ127</f>
        <v>7.44</v>
      </c>
      <c r="DB127">
        <v>0</v>
      </c>
    </row>
    <row r="128" spans="1:106">
      <c r="A128">
        <f>ROW(Source!A84)</f>
        <v>84</v>
      </c>
      <c r="B128">
        <v>48370320</v>
      </c>
      <c r="C128">
        <v>48371120</v>
      </c>
      <c r="D128">
        <v>37802992</v>
      </c>
      <c r="E128">
        <v>1</v>
      </c>
      <c r="F128">
        <v>1</v>
      </c>
      <c r="G128">
        <v>1</v>
      </c>
      <c r="H128">
        <v>2</v>
      </c>
      <c r="I128" t="s">
        <v>653</v>
      </c>
      <c r="J128" t="s">
        <v>654</v>
      </c>
      <c r="K128" t="s">
        <v>655</v>
      </c>
      <c r="L128">
        <v>1368</v>
      </c>
      <c r="N128">
        <v>1011</v>
      </c>
      <c r="O128" t="s">
        <v>516</v>
      </c>
      <c r="P128" t="s">
        <v>516</v>
      </c>
      <c r="Q128">
        <v>1</v>
      </c>
      <c r="W128">
        <v>0</v>
      </c>
      <c r="X128">
        <v>1801551115</v>
      </c>
      <c r="Y128">
        <v>2.1124999999999998</v>
      </c>
      <c r="AA128">
        <v>0</v>
      </c>
      <c r="AB128">
        <v>207.72</v>
      </c>
      <c r="AC128">
        <v>187.92</v>
      </c>
      <c r="AD128">
        <v>0</v>
      </c>
      <c r="AE128">
        <v>0</v>
      </c>
      <c r="AF128">
        <v>11.32</v>
      </c>
      <c r="AG128">
        <v>9</v>
      </c>
      <c r="AH128">
        <v>0</v>
      </c>
      <c r="AI128">
        <v>1</v>
      </c>
      <c r="AJ128">
        <v>18.350000000000001</v>
      </c>
      <c r="AK128">
        <v>20.88</v>
      </c>
      <c r="AL128">
        <v>1</v>
      </c>
      <c r="AN128">
        <v>0</v>
      </c>
      <c r="AO128">
        <v>1</v>
      </c>
      <c r="AP128">
        <v>1</v>
      </c>
      <c r="AQ128">
        <v>0</v>
      </c>
      <c r="AR128">
        <v>0</v>
      </c>
      <c r="AS128" t="s">
        <v>3</v>
      </c>
      <c r="AT128">
        <v>1.69</v>
      </c>
      <c r="AU128" t="s">
        <v>160</v>
      </c>
      <c r="AV128">
        <v>0</v>
      </c>
      <c r="AW128">
        <v>2</v>
      </c>
      <c r="AX128">
        <v>48371125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Y128*Source!I84</f>
        <v>8.534499999999999E-2</v>
      </c>
      <c r="CY128">
        <f>AB128</f>
        <v>207.72</v>
      </c>
      <c r="CZ128">
        <f>AF128</f>
        <v>11.32</v>
      </c>
      <c r="DA128">
        <f>AJ128</f>
        <v>18.350000000000001</v>
      </c>
      <c r="DB128">
        <v>0</v>
      </c>
    </row>
    <row r="129" spans="1:106">
      <c r="A129">
        <f>ROW(Source!A84)</f>
        <v>84</v>
      </c>
      <c r="B129">
        <v>48370320</v>
      </c>
      <c r="C129">
        <v>48371120</v>
      </c>
      <c r="D129">
        <v>37804194</v>
      </c>
      <c r="E129">
        <v>1</v>
      </c>
      <c r="F129">
        <v>1</v>
      </c>
      <c r="G129">
        <v>1</v>
      </c>
      <c r="H129">
        <v>2</v>
      </c>
      <c r="I129" t="s">
        <v>670</v>
      </c>
      <c r="J129" t="s">
        <v>671</v>
      </c>
      <c r="K129" t="s">
        <v>672</v>
      </c>
      <c r="L129">
        <v>1368</v>
      </c>
      <c r="N129">
        <v>1011</v>
      </c>
      <c r="O129" t="s">
        <v>516</v>
      </c>
      <c r="P129" t="s">
        <v>516</v>
      </c>
      <c r="Q129">
        <v>1</v>
      </c>
      <c r="W129">
        <v>0</v>
      </c>
      <c r="X129">
        <v>1254034396</v>
      </c>
      <c r="Y129">
        <v>6.25E-2</v>
      </c>
      <c r="AA129">
        <v>0</v>
      </c>
      <c r="AB129">
        <v>29.42</v>
      </c>
      <c r="AC129">
        <v>0</v>
      </c>
      <c r="AD129">
        <v>0</v>
      </c>
      <c r="AE129">
        <v>0</v>
      </c>
      <c r="AF129">
        <v>11.02</v>
      </c>
      <c r="AG129">
        <v>0</v>
      </c>
      <c r="AH129">
        <v>0</v>
      </c>
      <c r="AI129">
        <v>1</v>
      </c>
      <c r="AJ129">
        <v>2.67</v>
      </c>
      <c r="AK129">
        <v>20.88</v>
      </c>
      <c r="AL129">
        <v>1</v>
      </c>
      <c r="AN129">
        <v>0</v>
      </c>
      <c r="AO129">
        <v>1</v>
      </c>
      <c r="AP129">
        <v>1</v>
      </c>
      <c r="AQ129">
        <v>0</v>
      </c>
      <c r="AR129">
        <v>0</v>
      </c>
      <c r="AS129" t="s">
        <v>3</v>
      </c>
      <c r="AT129">
        <v>0.05</v>
      </c>
      <c r="AU129" t="s">
        <v>160</v>
      </c>
      <c r="AV129">
        <v>0</v>
      </c>
      <c r="AW129">
        <v>2</v>
      </c>
      <c r="AX129">
        <v>48371126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Y129*Source!I84</f>
        <v>2.5249999999999999E-3</v>
      </c>
      <c r="CY129">
        <f>AB129</f>
        <v>29.42</v>
      </c>
      <c r="CZ129">
        <f>AF129</f>
        <v>11.02</v>
      </c>
      <c r="DA129">
        <f>AJ129</f>
        <v>2.67</v>
      </c>
      <c r="DB129">
        <v>0</v>
      </c>
    </row>
    <row r="130" spans="1:106">
      <c r="A130">
        <f>ROW(Source!A84)</f>
        <v>84</v>
      </c>
      <c r="B130">
        <v>48370320</v>
      </c>
      <c r="C130">
        <v>48371120</v>
      </c>
      <c r="D130">
        <v>37804456</v>
      </c>
      <c r="E130">
        <v>1</v>
      </c>
      <c r="F130">
        <v>1</v>
      </c>
      <c r="G130">
        <v>1</v>
      </c>
      <c r="H130">
        <v>2</v>
      </c>
      <c r="I130" t="s">
        <v>530</v>
      </c>
      <c r="J130" t="s">
        <v>531</v>
      </c>
      <c r="K130" t="s">
        <v>532</v>
      </c>
      <c r="L130">
        <v>1368</v>
      </c>
      <c r="N130">
        <v>1011</v>
      </c>
      <c r="O130" t="s">
        <v>516</v>
      </c>
      <c r="P130" t="s">
        <v>516</v>
      </c>
      <c r="Q130">
        <v>1</v>
      </c>
      <c r="W130">
        <v>0</v>
      </c>
      <c r="X130">
        <v>-671646184</v>
      </c>
      <c r="Y130">
        <v>1.2500000000000001E-2</v>
      </c>
      <c r="AA130">
        <v>0</v>
      </c>
      <c r="AB130">
        <v>844.19</v>
      </c>
      <c r="AC130">
        <v>216.11</v>
      </c>
      <c r="AD130">
        <v>0</v>
      </c>
      <c r="AE130">
        <v>0</v>
      </c>
      <c r="AF130">
        <v>91.76</v>
      </c>
      <c r="AG130">
        <v>10.35</v>
      </c>
      <c r="AH130">
        <v>0</v>
      </c>
      <c r="AI130">
        <v>1</v>
      </c>
      <c r="AJ130">
        <v>9.1999999999999993</v>
      </c>
      <c r="AK130">
        <v>20.88</v>
      </c>
      <c r="AL130">
        <v>1</v>
      </c>
      <c r="AN130">
        <v>0</v>
      </c>
      <c r="AO130">
        <v>1</v>
      </c>
      <c r="AP130">
        <v>1</v>
      </c>
      <c r="AQ130">
        <v>0</v>
      </c>
      <c r="AR130">
        <v>0</v>
      </c>
      <c r="AS130" t="s">
        <v>3</v>
      </c>
      <c r="AT130">
        <v>0.01</v>
      </c>
      <c r="AU130" t="s">
        <v>160</v>
      </c>
      <c r="AV130">
        <v>0</v>
      </c>
      <c r="AW130">
        <v>2</v>
      </c>
      <c r="AX130">
        <v>48371127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Y130*Source!I84</f>
        <v>5.0500000000000002E-4</v>
      </c>
      <c r="CY130">
        <f>AB130</f>
        <v>844.19</v>
      </c>
      <c r="CZ130">
        <f>AF130</f>
        <v>91.76</v>
      </c>
      <c r="DA130">
        <f>AJ130</f>
        <v>9.1999999999999993</v>
      </c>
      <c r="DB130">
        <v>0</v>
      </c>
    </row>
    <row r="131" spans="1:106">
      <c r="A131">
        <f>ROW(Source!A84)</f>
        <v>84</v>
      </c>
      <c r="B131">
        <v>48370320</v>
      </c>
      <c r="C131">
        <v>48371120</v>
      </c>
      <c r="D131">
        <v>37730034</v>
      </c>
      <c r="E131">
        <v>1</v>
      </c>
      <c r="F131">
        <v>1</v>
      </c>
      <c r="G131">
        <v>1</v>
      </c>
      <c r="H131">
        <v>3</v>
      </c>
      <c r="I131" t="s">
        <v>673</v>
      </c>
      <c r="J131" t="s">
        <v>674</v>
      </c>
      <c r="K131" t="s">
        <v>675</v>
      </c>
      <c r="L131">
        <v>1348</v>
      </c>
      <c r="N131">
        <v>1009</v>
      </c>
      <c r="O131" t="s">
        <v>536</v>
      </c>
      <c r="P131" t="s">
        <v>536</v>
      </c>
      <c r="Q131">
        <v>1000</v>
      </c>
      <c r="W131">
        <v>0</v>
      </c>
      <c r="X131">
        <v>2142030353</v>
      </c>
      <c r="Y131">
        <v>1.2999999999999999E-2</v>
      </c>
      <c r="AA131">
        <v>55662.01</v>
      </c>
      <c r="AB131">
        <v>0</v>
      </c>
      <c r="AC131">
        <v>0</v>
      </c>
      <c r="AD131">
        <v>0</v>
      </c>
      <c r="AE131">
        <v>6610.69</v>
      </c>
      <c r="AF131">
        <v>0</v>
      </c>
      <c r="AG131">
        <v>0</v>
      </c>
      <c r="AH131">
        <v>0</v>
      </c>
      <c r="AI131">
        <v>8.42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1.2999999999999999E-2</v>
      </c>
      <c r="AU131" t="s">
        <v>3</v>
      </c>
      <c r="AV131">
        <v>0</v>
      </c>
      <c r="AW131">
        <v>2</v>
      </c>
      <c r="AX131">
        <v>48371128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Y131*Source!I84</f>
        <v>5.2519999999999997E-4</v>
      </c>
      <c r="CY131">
        <f t="shared" ref="CY131:CY136" si="6">AA131</f>
        <v>55662.01</v>
      </c>
      <c r="CZ131">
        <f t="shared" ref="CZ131:CZ136" si="7">AE131</f>
        <v>6610.69</v>
      </c>
      <c r="DA131">
        <f t="shared" ref="DA131:DA136" si="8">AI131</f>
        <v>8.42</v>
      </c>
      <c r="DB131">
        <v>0</v>
      </c>
    </row>
    <row r="132" spans="1:106">
      <c r="A132">
        <f>ROW(Source!A84)</f>
        <v>84</v>
      </c>
      <c r="B132">
        <v>48370320</v>
      </c>
      <c r="C132">
        <v>48371120</v>
      </c>
      <c r="D132">
        <v>37731608</v>
      </c>
      <c r="E132">
        <v>1</v>
      </c>
      <c r="F132">
        <v>1</v>
      </c>
      <c r="G132">
        <v>1</v>
      </c>
      <c r="H132">
        <v>3</v>
      </c>
      <c r="I132" t="s">
        <v>676</v>
      </c>
      <c r="J132" t="s">
        <v>677</v>
      </c>
      <c r="K132" t="s">
        <v>678</v>
      </c>
      <c r="L132">
        <v>1346</v>
      </c>
      <c r="N132">
        <v>1009</v>
      </c>
      <c r="O132" t="s">
        <v>172</v>
      </c>
      <c r="P132" t="s">
        <v>172</v>
      </c>
      <c r="Q132">
        <v>1</v>
      </c>
      <c r="W132">
        <v>0</v>
      </c>
      <c r="X132">
        <v>1860514140</v>
      </c>
      <c r="Y132">
        <v>1200</v>
      </c>
      <c r="AA132">
        <v>15.6</v>
      </c>
      <c r="AB132">
        <v>0</v>
      </c>
      <c r="AC132">
        <v>0</v>
      </c>
      <c r="AD132">
        <v>0</v>
      </c>
      <c r="AE132">
        <v>3.74</v>
      </c>
      <c r="AF132">
        <v>0</v>
      </c>
      <c r="AG132">
        <v>0</v>
      </c>
      <c r="AH132">
        <v>0</v>
      </c>
      <c r="AI132">
        <v>4.17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1200</v>
      </c>
      <c r="AU132" t="s">
        <v>3</v>
      </c>
      <c r="AV132">
        <v>0</v>
      </c>
      <c r="AW132">
        <v>2</v>
      </c>
      <c r="AX132">
        <v>48371129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Y132*Source!I84</f>
        <v>48.48</v>
      </c>
      <c r="CY132">
        <f t="shared" si="6"/>
        <v>15.6</v>
      </c>
      <c r="CZ132">
        <f t="shared" si="7"/>
        <v>3.74</v>
      </c>
      <c r="DA132">
        <f t="shared" si="8"/>
        <v>4.17</v>
      </c>
      <c r="DB132">
        <v>0</v>
      </c>
    </row>
    <row r="133" spans="1:106">
      <c r="A133">
        <f>ROW(Source!A84)</f>
        <v>84</v>
      </c>
      <c r="B133">
        <v>48370320</v>
      </c>
      <c r="C133">
        <v>48371120</v>
      </c>
      <c r="D133">
        <v>37731963</v>
      </c>
      <c r="E133">
        <v>1</v>
      </c>
      <c r="F133">
        <v>1</v>
      </c>
      <c r="G133">
        <v>1</v>
      </c>
      <c r="H133">
        <v>3</v>
      </c>
      <c r="I133" t="s">
        <v>679</v>
      </c>
      <c r="J133" t="s">
        <v>680</v>
      </c>
      <c r="K133" t="s">
        <v>681</v>
      </c>
      <c r="L133">
        <v>1327</v>
      </c>
      <c r="N133">
        <v>1005</v>
      </c>
      <c r="O133" t="s">
        <v>189</v>
      </c>
      <c r="P133" t="s">
        <v>189</v>
      </c>
      <c r="Q133">
        <v>1</v>
      </c>
      <c r="W133">
        <v>0</v>
      </c>
      <c r="X133">
        <v>-2127610453</v>
      </c>
      <c r="Y133">
        <v>102</v>
      </c>
      <c r="AA133">
        <v>413.45</v>
      </c>
      <c r="AB133">
        <v>0</v>
      </c>
      <c r="AC133">
        <v>0</v>
      </c>
      <c r="AD133">
        <v>0</v>
      </c>
      <c r="AE133">
        <v>142.57</v>
      </c>
      <c r="AF133">
        <v>0</v>
      </c>
      <c r="AG133">
        <v>0</v>
      </c>
      <c r="AH133">
        <v>0</v>
      </c>
      <c r="AI133">
        <v>2.9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102</v>
      </c>
      <c r="AU133" t="s">
        <v>3</v>
      </c>
      <c r="AV133">
        <v>0</v>
      </c>
      <c r="AW133">
        <v>2</v>
      </c>
      <c r="AX133">
        <v>48371130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Y133*Source!I84</f>
        <v>4.1208</v>
      </c>
      <c r="CY133">
        <f t="shared" si="6"/>
        <v>413.45</v>
      </c>
      <c r="CZ133">
        <f t="shared" si="7"/>
        <v>142.57</v>
      </c>
      <c r="DA133">
        <f t="shared" si="8"/>
        <v>2.9</v>
      </c>
      <c r="DB133">
        <v>0</v>
      </c>
    </row>
    <row r="134" spans="1:106">
      <c r="A134">
        <f>ROW(Source!A84)</f>
        <v>84</v>
      </c>
      <c r="B134">
        <v>48370320</v>
      </c>
      <c r="C134">
        <v>48371120</v>
      </c>
      <c r="D134">
        <v>37731442</v>
      </c>
      <c r="E134">
        <v>1</v>
      </c>
      <c r="F134">
        <v>1</v>
      </c>
      <c r="G134">
        <v>1</v>
      </c>
      <c r="H134">
        <v>3</v>
      </c>
      <c r="I134" t="s">
        <v>628</v>
      </c>
      <c r="J134" t="s">
        <v>629</v>
      </c>
      <c r="K134" t="s">
        <v>630</v>
      </c>
      <c r="L134">
        <v>1348</v>
      </c>
      <c r="N134">
        <v>1009</v>
      </c>
      <c r="O134" t="s">
        <v>536</v>
      </c>
      <c r="P134" t="s">
        <v>536</v>
      </c>
      <c r="Q134">
        <v>1000</v>
      </c>
      <c r="W134">
        <v>0</v>
      </c>
      <c r="X134">
        <v>-33111211</v>
      </c>
      <c r="Y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1</v>
      </c>
      <c r="AO134">
        <v>0</v>
      </c>
      <c r="AP134">
        <v>0</v>
      </c>
      <c r="AQ134">
        <v>0</v>
      </c>
      <c r="AR134">
        <v>0</v>
      </c>
      <c r="AS134" t="s">
        <v>3</v>
      </c>
      <c r="AT134">
        <v>0</v>
      </c>
      <c r="AU134" t="s">
        <v>3</v>
      </c>
      <c r="AV134">
        <v>0</v>
      </c>
      <c r="AW134">
        <v>2</v>
      </c>
      <c r="AX134">
        <v>48371131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Y134*Source!I84</f>
        <v>0</v>
      </c>
      <c r="CY134">
        <f t="shared" si="6"/>
        <v>0</v>
      </c>
      <c r="CZ134">
        <f t="shared" si="7"/>
        <v>0</v>
      </c>
      <c r="DA134">
        <f t="shared" si="8"/>
        <v>1</v>
      </c>
      <c r="DB134">
        <v>0</v>
      </c>
    </row>
    <row r="135" spans="1:106">
      <c r="A135">
        <f>ROW(Source!A84)</f>
        <v>84</v>
      </c>
      <c r="B135">
        <v>48370320</v>
      </c>
      <c r="C135">
        <v>48371120</v>
      </c>
      <c r="D135">
        <v>37753185</v>
      </c>
      <c r="E135">
        <v>1</v>
      </c>
      <c r="F135">
        <v>1</v>
      </c>
      <c r="G135">
        <v>1</v>
      </c>
      <c r="H135">
        <v>3</v>
      </c>
      <c r="I135" t="s">
        <v>682</v>
      </c>
      <c r="J135" t="s">
        <v>683</v>
      </c>
      <c r="K135" t="s">
        <v>684</v>
      </c>
      <c r="L135">
        <v>1339</v>
      </c>
      <c r="N135">
        <v>1007</v>
      </c>
      <c r="O135" t="s">
        <v>543</v>
      </c>
      <c r="P135" t="s">
        <v>543</v>
      </c>
      <c r="Q135">
        <v>1</v>
      </c>
      <c r="W135">
        <v>0</v>
      </c>
      <c r="X135">
        <v>-2146135986</v>
      </c>
      <c r="Y135">
        <v>0.01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S135" t="s">
        <v>3</v>
      </c>
      <c r="AT135">
        <v>0.01</v>
      </c>
      <c r="AU135" t="s">
        <v>3</v>
      </c>
      <c r="AV135">
        <v>0</v>
      </c>
      <c r="AW135">
        <v>2</v>
      </c>
      <c r="AX135">
        <v>48371132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Y135*Source!I84</f>
        <v>4.0400000000000001E-4</v>
      </c>
      <c r="CY135">
        <f t="shared" si="6"/>
        <v>0</v>
      </c>
      <c r="CZ135">
        <f t="shared" si="7"/>
        <v>0</v>
      </c>
      <c r="DA135">
        <f t="shared" si="8"/>
        <v>1</v>
      </c>
      <c r="DB135">
        <v>0</v>
      </c>
    </row>
    <row r="136" spans="1:106">
      <c r="A136">
        <f>ROW(Source!A84)</f>
        <v>84</v>
      </c>
      <c r="B136">
        <v>48370320</v>
      </c>
      <c r="C136">
        <v>48371120</v>
      </c>
      <c r="D136">
        <v>37777802</v>
      </c>
      <c r="E136">
        <v>1</v>
      </c>
      <c r="F136">
        <v>1</v>
      </c>
      <c r="G136">
        <v>1</v>
      </c>
      <c r="H136">
        <v>3</v>
      </c>
      <c r="I136" t="s">
        <v>616</v>
      </c>
      <c r="J136" t="s">
        <v>617</v>
      </c>
      <c r="K136" t="s">
        <v>618</v>
      </c>
      <c r="L136">
        <v>1339</v>
      </c>
      <c r="N136">
        <v>1007</v>
      </c>
      <c r="O136" t="s">
        <v>543</v>
      </c>
      <c r="P136" t="s">
        <v>543</v>
      </c>
      <c r="Q136">
        <v>1</v>
      </c>
      <c r="W136">
        <v>0</v>
      </c>
      <c r="X136">
        <v>-1418712732</v>
      </c>
      <c r="Y136">
        <v>0.44</v>
      </c>
      <c r="AA136">
        <v>45.55</v>
      </c>
      <c r="AB136">
        <v>0</v>
      </c>
      <c r="AC136">
        <v>0</v>
      </c>
      <c r="AD136">
        <v>0</v>
      </c>
      <c r="AE136">
        <v>2.4700000000000002</v>
      </c>
      <c r="AF136">
        <v>0</v>
      </c>
      <c r="AG136">
        <v>0</v>
      </c>
      <c r="AH136">
        <v>0</v>
      </c>
      <c r="AI136">
        <v>18.440000000000001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0.44</v>
      </c>
      <c r="AU136" t="s">
        <v>3</v>
      </c>
      <c r="AV136">
        <v>0</v>
      </c>
      <c r="AW136">
        <v>2</v>
      </c>
      <c r="AX136">
        <v>48371133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Y136*Source!I84</f>
        <v>1.7776E-2</v>
      </c>
      <c r="CY136">
        <f t="shared" si="6"/>
        <v>45.55</v>
      </c>
      <c r="CZ136">
        <f t="shared" si="7"/>
        <v>2.4700000000000002</v>
      </c>
      <c r="DA136">
        <f t="shared" si="8"/>
        <v>18.440000000000001</v>
      </c>
      <c r="DB136">
        <v>0</v>
      </c>
    </row>
    <row r="137" spans="1:106">
      <c r="A137">
        <f>ROW(Source!A86)</f>
        <v>86</v>
      </c>
      <c r="B137">
        <v>48370320</v>
      </c>
      <c r="C137">
        <v>48371137</v>
      </c>
      <c r="D137">
        <v>23129438</v>
      </c>
      <c r="E137">
        <v>1</v>
      </c>
      <c r="F137">
        <v>1</v>
      </c>
      <c r="G137">
        <v>1</v>
      </c>
      <c r="H137">
        <v>1</v>
      </c>
      <c r="I137" t="s">
        <v>685</v>
      </c>
      <c r="J137" t="s">
        <v>3</v>
      </c>
      <c r="K137" t="s">
        <v>686</v>
      </c>
      <c r="L137">
        <v>1369</v>
      </c>
      <c r="N137">
        <v>1013</v>
      </c>
      <c r="O137" t="s">
        <v>510</v>
      </c>
      <c r="P137" t="s">
        <v>510</v>
      </c>
      <c r="Q137">
        <v>1</v>
      </c>
      <c r="W137">
        <v>0</v>
      </c>
      <c r="X137">
        <v>-2139336833</v>
      </c>
      <c r="Y137">
        <v>124.61399999999999</v>
      </c>
      <c r="AA137">
        <v>0</v>
      </c>
      <c r="AB137">
        <v>0</v>
      </c>
      <c r="AC137">
        <v>0</v>
      </c>
      <c r="AD137">
        <v>8.7899999999999991</v>
      </c>
      <c r="AE137">
        <v>0</v>
      </c>
      <c r="AF137">
        <v>0</v>
      </c>
      <c r="AG137">
        <v>0</v>
      </c>
      <c r="AH137">
        <v>8.7899999999999991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S137" t="s">
        <v>3</v>
      </c>
      <c r="AT137">
        <v>108.36</v>
      </c>
      <c r="AU137" t="s">
        <v>161</v>
      </c>
      <c r="AV137">
        <v>1</v>
      </c>
      <c r="AW137">
        <v>2</v>
      </c>
      <c r="AX137">
        <v>48371138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Y137*Source!I86</f>
        <v>4.9097915999999993</v>
      </c>
      <c r="CY137">
        <f>AD137</f>
        <v>8.7899999999999991</v>
      </c>
      <c r="CZ137">
        <f>AH137</f>
        <v>8.7899999999999991</v>
      </c>
      <c r="DA137">
        <f>AL137</f>
        <v>1</v>
      </c>
      <c r="DB137">
        <v>0</v>
      </c>
    </row>
    <row r="138" spans="1:106">
      <c r="A138">
        <f>ROW(Source!A86)</f>
        <v>86</v>
      </c>
      <c r="B138">
        <v>48370320</v>
      </c>
      <c r="C138">
        <v>48371137</v>
      </c>
      <c r="D138">
        <v>121548</v>
      </c>
      <c r="E138">
        <v>1</v>
      </c>
      <c r="F138">
        <v>1</v>
      </c>
      <c r="G138">
        <v>1</v>
      </c>
      <c r="H138">
        <v>1</v>
      </c>
      <c r="I138" t="s">
        <v>24</v>
      </c>
      <c r="J138" t="s">
        <v>3</v>
      </c>
      <c r="K138" t="s">
        <v>511</v>
      </c>
      <c r="L138">
        <v>608254</v>
      </c>
      <c r="N138">
        <v>1013</v>
      </c>
      <c r="O138" t="s">
        <v>512</v>
      </c>
      <c r="P138" t="s">
        <v>512</v>
      </c>
      <c r="Q138">
        <v>1</v>
      </c>
      <c r="W138">
        <v>0</v>
      </c>
      <c r="X138">
        <v>-185737400</v>
      </c>
      <c r="Y138">
        <v>0.3125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S138" t="s">
        <v>3</v>
      </c>
      <c r="AT138">
        <v>0.25</v>
      </c>
      <c r="AU138" t="s">
        <v>160</v>
      </c>
      <c r="AV138">
        <v>2</v>
      </c>
      <c r="AW138">
        <v>2</v>
      </c>
      <c r="AX138">
        <v>48371139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Y138*Source!I86</f>
        <v>1.2312499999999999E-2</v>
      </c>
      <c r="CY138">
        <f>AD138</f>
        <v>0</v>
      </c>
      <c r="CZ138">
        <f>AH138</f>
        <v>0</v>
      </c>
      <c r="DA138">
        <f>AL138</f>
        <v>1</v>
      </c>
      <c r="DB138">
        <v>0</v>
      </c>
    </row>
    <row r="139" spans="1:106">
      <c r="A139">
        <f>ROW(Source!A86)</f>
        <v>86</v>
      </c>
      <c r="B139">
        <v>48370320</v>
      </c>
      <c r="C139">
        <v>48371137</v>
      </c>
      <c r="D139">
        <v>37802443</v>
      </c>
      <c r="E139">
        <v>1</v>
      </c>
      <c r="F139">
        <v>1</v>
      </c>
      <c r="G139">
        <v>1</v>
      </c>
      <c r="H139">
        <v>2</v>
      </c>
      <c r="I139" t="s">
        <v>586</v>
      </c>
      <c r="J139" t="s">
        <v>587</v>
      </c>
      <c r="K139" t="s">
        <v>588</v>
      </c>
      <c r="L139">
        <v>1368</v>
      </c>
      <c r="N139">
        <v>1011</v>
      </c>
      <c r="O139" t="s">
        <v>516</v>
      </c>
      <c r="P139" t="s">
        <v>516</v>
      </c>
      <c r="Q139">
        <v>1</v>
      </c>
      <c r="W139">
        <v>0</v>
      </c>
      <c r="X139">
        <v>1447433125</v>
      </c>
      <c r="Y139">
        <v>0.3125</v>
      </c>
      <c r="AA139">
        <v>0</v>
      </c>
      <c r="AB139">
        <v>981.95</v>
      </c>
      <c r="AC139">
        <v>252.65</v>
      </c>
      <c r="AD139">
        <v>0</v>
      </c>
      <c r="AE139">
        <v>0</v>
      </c>
      <c r="AF139">
        <v>124.14</v>
      </c>
      <c r="AG139">
        <v>12.1</v>
      </c>
      <c r="AH139">
        <v>0</v>
      </c>
      <c r="AI139">
        <v>1</v>
      </c>
      <c r="AJ139">
        <v>7.91</v>
      </c>
      <c r="AK139">
        <v>20.88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S139" t="s">
        <v>3</v>
      </c>
      <c r="AT139">
        <v>0.25</v>
      </c>
      <c r="AU139" t="s">
        <v>160</v>
      </c>
      <c r="AV139">
        <v>0</v>
      </c>
      <c r="AW139">
        <v>2</v>
      </c>
      <c r="AX139">
        <v>48371140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Y139*Source!I86</f>
        <v>1.2312499999999999E-2</v>
      </c>
      <c r="CY139">
        <f>AB139</f>
        <v>981.95</v>
      </c>
      <c r="CZ139">
        <f>AF139</f>
        <v>124.14</v>
      </c>
      <c r="DA139">
        <f>AJ139</f>
        <v>7.91</v>
      </c>
      <c r="DB139">
        <v>0</v>
      </c>
    </row>
    <row r="140" spans="1:106">
      <c r="A140">
        <f>ROW(Source!A86)</f>
        <v>86</v>
      </c>
      <c r="B140">
        <v>48370320</v>
      </c>
      <c r="C140">
        <v>48371137</v>
      </c>
      <c r="D140">
        <v>37802544</v>
      </c>
      <c r="E140">
        <v>1</v>
      </c>
      <c r="F140">
        <v>1</v>
      </c>
      <c r="G140">
        <v>1</v>
      </c>
      <c r="H140">
        <v>2</v>
      </c>
      <c r="I140" t="s">
        <v>687</v>
      </c>
      <c r="J140" t="s">
        <v>688</v>
      </c>
      <c r="K140" t="s">
        <v>689</v>
      </c>
      <c r="L140">
        <v>1368</v>
      </c>
      <c r="N140">
        <v>1011</v>
      </c>
      <c r="O140" t="s">
        <v>516</v>
      </c>
      <c r="P140" t="s">
        <v>516</v>
      </c>
      <c r="Q140">
        <v>1</v>
      </c>
      <c r="W140">
        <v>0</v>
      </c>
      <c r="X140">
        <v>-892985829</v>
      </c>
      <c r="Y140">
        <v>20.25</v>
      </c>
      <c r="AA140">
        <v>0</v>
      </c>
      <c r="AB140">
        <v>28.94</v>
      </c>
      <c r="AC140">
        <v>0</v>
      </c>
      <c r="AD140">
        <v>0</v>
      </c>
      <c r="AE140">
        <v>0</v>
      </c>
      <c r="AF140">
        <v>7.11</v>
      </c>
      <c r="AG140">
        <v>0</v>
      </c>
      <c r="AH140">
        <v>0</v>
      </c>
      <c r="AI140">
        <v>1</v>
      </c>
      <c r="AJ140">
        <v>4.07</v>
      </c>
      <c r="AK140">
        <v>20.88</v>
      </c>
      <c r="AL140">
        <v>1</v>
      </c>
      <c r="AN140">
        <v>0</v>
      </c>
      <c r="AO140">
        <v>1</v>
      </c>
      <c r="AP140">
        <v>1</v>
      </c>
      <c r="AQ140">
        <v>0</v>
      </c>
      <c r="AR140">
        <v>0</v>
      </c>
      <c r="AS140" t="s">
        <v>3</v>
      </c>
      <c r="AT140">
        <v>16.2</v>
      </c>
      <c r="AU140" t="s">
        <v>160</v>
      </c>
      <c r="AV140">
        <v>0</v>
      </c>
      <c r="AW140">
        <v>2</v>
      </c>
      <c r="AX140">
        <v>48371141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Y140*Source!I86</f>
        <v>0.79784999999999995</v>
      </c>
      <c r="CY140">
        <f>AB140</f>
        <v>28.94</v>
      </c>
      <c r="CZ140">
        <f>AF140</f>
        <v>7.11</v>
      </c>
      <c r="DA140">
        <f>AJ140</f>
        <v>4.07</v>
      </c>
      <c r="DB140">
        <v>0</v>
      </c>
    </row>
    <row r="141" spans="1:106">
      <c r="A141">
        <f>ROW(Source!A86)</f>
        <v>86</v>
      </c>
      <c r="B141">
        <v>48370320</v>
      </c>
      <c r="C141">
        <v>48371137</v>
      </c>
      <c r="D141">
        <v>37804065</v>
      </c>
      <c r="E141">
        <v>1</v>
      </c>
      <c r="F141">
        <v>1</v>
      </c>
      <c r="G141">
        <v>1</v>
      </c>
      <c r="H141">
        <v>2</v>
      </c>
      <c r="I141" t="s">
        <v>690</v>
      </c>
      <c r="J141" t="s">
        <v>691</v>
      </c>
      <c r="K141" t="s">
        <v>692</v>
      </c>
      <c r="L141">
        <v>1368</v>
      </c>
      <c r="N141">
        <v>1011</v>
      </c>
      <c r="O141" t="s">
        <v>516</v>
      </c>
      <c r="P141" t="s">
        <v>516</v>
      </c>
      <c r="Q141">
        <v>1</v>
      </c>
      <c r="W141">
        <v>0</v>
      </c>
      <c r="X141">
        <v>835824343</v>
      </c>
      <c r="Y141">
        <v>4.4249999999999998</v>
      </c>
      <c r="AA141">
        <v>0</v>
      </c>
      <c r="AB141">
        <v>9.74</v>
      </c>
      <c r="AC141">
        <v>0</v>
      </c>
      <c r="AD141">
        <v>0</v>
      </c>
      <c r="AE141">
        <v>0</v>
      </c>
      <c r="AF141">
        <v>2.15</v>
      </c>
      <c r="AG141">
        <v>0</v>
      </c>
      <c r="AH141">
        <v>0</v>
      </c>
      <c r="AI141">
        <v>1</v>
      </c>
      <c r="AJ141">
        <v>4.53</v>
      </c>
      <c r="AK141">
        <v>20.88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S141" t="s">
        <v>3</v>
      </c>
      <c r="AT141">
        <v>3.54</v>
      </c>
      <c r="AU141" t="s">
        <v>160</v>
      </c>
      <c r="AV141">
        <v>0</v>
      </c>
      <c r="AW141">
        <v>2</v>
      </c>
      <c r="AX141">
        <v>48371142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Y141*Source!I86</f>
        <v>0.17434499999999997</v>
      </c>
      <c r="CY141">
        <f>AB141</f>
        <v>9.74</v>
      </c>
      <c r="CZ141">
        <f>AF141</f>
        <v>2.15</v>
      </c>
      <c r="DA141">
        <f>AJ141</f>
        <v>4.53</v>
      </c>
      <c r="DB141">
        <v>0</v>
      </c>
    </row>
    <row r="142" spans="1:106">
      <c r="A142">
        <f>ROW(Source!A86)</f>
        <v>86</v>
      </c>
      <c r="B142">
        <v>48370320</v>
      </c>
      <c r="C142">
        <v>48371137</v>
      </c>
      <c r="D142">
        <v>37804456</v>
      </c>
      <c r="E142">
        <v>1</v>
      </c>
      <c r="F142">
        <v>1</v>
      </c>
      <c r="G142">
        <v>1</v>
      </c>
      <c r="H142">
        <v>2</v>
      </c>
      <c r="I142" t="s">
        <v>530</v>
      </c>
      <c r="J142" t="s">
        <v>531</v>
      </c>
      <c r="K142" t="s">
        <v>532</v>
      </c>
      <c r="L142">
        <v>1368</v>
      </c>
      <c r="N142">
        <v>1011</v>
      </c>
      <c r="O142" t="s">
        <v>516</v>
      </c>
      <c r="P142" t="s">
        <v>516</v>
      </c>
      <c r="Q142">
        <v>1</v>
      </c>
      <c r="W142">
        <v>0</v>
      </c>
      <c r="X142">
        <v>-671646184</v>
      </c>
      <c r="Y142">
        <v>0.17500000000000002</v>
      </c>
      <c r="AA142">
        <v>0</v>
      </c>
      <c r="AB142">
        <v>844.19</v>
      </c>
      <c r="AC142">
        <v>216.11</v>
      </c>
      <c r="AD142">
        <v>0</v>
      </c>
      <c r="AE142">
        <v>0</v>
      </c>
      <c r="AF142">
        <v>91.76</v>
      </c>
      <c r="AG142">
        <v>10.35</v>
      </c>
      <c r="AH142">
        <v>0</v>
      </c>
      <c r="AI142">
        <v>1</v>
      </c>
      <c r="AJ142">
        <v>9.1999999999999993</v>
      </c>
      <c r="AK142">
        <v>20.88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S142" t="s">
        <v>3</v>
      </c>
      <c r="AT142">
        <v>0.14000000000000001</v>
      </c>
      <c r="AU142" t="s">
        <v>160</v>
      </c>
      <c r="AV142">
        <v>0</v>
      </c>
      <c r="AW142">
        <v>2</v>
      </c>
      <c r="AX142">
        <v>48371143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Y142*Source!I86</f>
        <v>6.8950000000000001E-3</v>
      </c>
      <c r="CY142">
        <f>AB142</f>
        <v>844.19</v>
      </c>
      <c r="CZ142">
        <f>AF142</f>
        <v>91.76</v>
      </c>
      <c r="DA142">
        <f>AJ142</f>
        <v>9.1999999999999993</v>
      </c>
      <c r="DB142">
        <v>0</v>
      </c>
    </row>
    <row r="143" spans="1:106">
      <c r="A143">
        <f>ROW(Source!A86)</f>
        <v>86</v>
      </c>
      <c r="B143">
        <v>48370320</v>
      </c>
      <c r="C143">
        <v>48371137</v>
      </c>
      <c r="D143">
        <v>37754787</v>
      </c>
      <c r="E143">
        <v>1</v>
      </c>
      <c r="F143">
        <v>1</v>
      </c>
      <c r="G143">
        <v>1</v>
      </c>
      <c r="H143">
        <v>3</v>
      </c>
      <c r="I143" t="s">
        <v>693</v>
      </c>
      <c r="J143" t="s">
        <v>694</v>
      </c>
      <c r="K143" t="s">
        <v>695</v>
      </c>
      <c r="L143">
        <v>1301</v>
      </c>
      <c r="N143">
        <v>1003</v>
      </c>
      <c r="O143" t="s">
        <v>208</v>
      </c>
      <c r="P143" t="s">
        <v>208</v>
      </c>
      <c r="Q143">
        <v>1</v>
      </c>
      <c r="W143">
        <v>0</v>
      </c>
      <c r="X143">
        <v>-966407470</v>
      </c>
      <c r="Y143">
        <v>1050</v>
      </c>
      <c r="AA143">
        <v>116.12</v>
      </c>
      <c r="AB143">
        <v>0</v>
      </c>
      <c r="AC143">
        <v>0</v>
      </c>
      <c r="AD143">
        <v>0</v>
      </c>
      <c r="AE143">
        <v>25.08</v>
      </c>
      <c r="AF143">
        <v>0</v>
      </c>
      <c r="AG143">
        <v>0</v>
      </c>
      <c r="AH143">
        <v>0</v>
      </c>
      <c r="AI143">
        <v>4.63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1050</v>
      </c>
      <c r="AU143" t="s">
        <v>3</v>
      </c>
      <c r="AV143">
        <v>0</v>
      </c>
      <c r="AW143">
        <v>2</v>
      </c>
      <c r="AX143">
        <v>48371144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Y143*Source!I86</f>
        <v>41.37</v>
      </c>
      <c r="CY143">
        <f>AA143</f>
        <v>116.12</v>
      </c>
      <c r="CZ143">
        <f>AE143</f>
        <v>25.08</v>
      </c>
      <c r="DA143">
        <f>AI143</f>
        <v>4.63</v>
      </c>
      <c r="DB143">
        <v>0</v>
      </c>
    </row>
    <row r="144" spans="1:106">
      <c r="A144">
        <f>ROW(Source!A86)</f>
        <v>86</v>
      </c>
      <c r="B144">
        <v>48370320</v>
      </c>
      <c r="C144">
        <v>48371137</v>
      </c>
      <c r="D144">
        <v>37754789</v>
      </c>
      <c r="E144">
        <v>1</v>
      </c>
      <c r="F144">
        <v>1</v>
      </c>
      <c r="G144">
        <v>1</v>
      </c>
      <c r="H144">
        <v>3</v>
      </c>
      <c r="I144" t="s">
        <v>696</v>
      </c>
      <c r="J144" t="s">
        <v>697</v>
      </c>
      <c r="K144" t="s">
        <v>698</v>
      </c>
      <c r="L144">
        <v>1301</v>
      </c>
      <c r="N144">
        <v>1003</v>
      </c>
      <c r="O144" t="s">
        <v>208</v>
      </c>
      <c r="P144" t="s">
        <v>208</v>
      </c>
      <c r="Q144">
        <v>1</v>
      </c>
      <c r="W144">
        <v>0</v>
      </c>
      <c r="X144">
        <v>-1910651248</v>
      </c>
      <c r="Y144">
        <v>100</v>
      </c>
      <c r="AA144">
        <v>103.9</v>
      </c>
      <c r="AB144">
        <v>0</v>
      </c>
      <c r="AC144">
        <v>0</v>
      </c>
      <c r="AD144">
        <v>0</v>
      </c>
      <c r="AE144">
        <v>20.78</v>
      </c>
      <c r="AF144">
        <v>0</v>
      </c>
      <c r="AG144">
        <v>0</v>
      </c>
      <c r="AH144">
        <v>0</v>
      </c>
      <c r="AI144">
        <v>5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100</v>
      </c>
      <c r="AU144" t="s">
        <v>3</v>
      </c>
      <c r="AV144">
        <v>0</v>
      </c>
      <c r="AW144">
        <v>2</v>
      </c>
      <c r="AX144">
        <v>48371145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Y144*Source!I86</f>
        <v>3.94</v>
      </c>
      <c r="CY144">
        <f>AA144</f>
        <v>103.9</v>
      </c>
      <c r="CZ144">
        <f>AE144</f>
        <v>20.78</v>
      </c>
      <c r="DA144">
        <f>AI144</f>
        <v>5</v>
      </c>
      <c r="DB144">
        <v>0</v>
      </c>
    </row>
    <row r="145" spans="1:106">
      <c r="A145">
        <f>ROW(Source!A86)</f>
        <v>86</v>
      </c>
      <c r="B145">
        <v>48370320</v>
      </c>
      <c r="C145">
        <v>48371137</v>
      </c>
      <c r="D145">
        <v>37754791</v>
      </c>
      <c r="E145">
        <v>1</v>
      </c>
      <c r="F145">
        <v>1</v>
      </c>
      <c r="G145">
        <v>1</v>
      </c>
      <c r="H145">
        <v>3</v>
      </c>
      <c r="I145" t="s">
        <v>699</v>
      </c>
      <c r="J145" t="s">
        <v>700</v>
      </c>
      <c r="K145" t="s">
        <v>701</v>
      </c>
      <c r="L145">
        <v>1354</v>
      </c>
      <c r="N145">
        <v>1010</v>
      </c>
      <c r="O145" t="s">
        <v>220</v>
      </c>
      <c r="P145" t="s">
        <v>220</v>
      </c>
      <c r="Q145">
        <v>1</v>
      </c>
      <c r="W145">
        <v>0</v>
      </c>
      <c r="X145">
        <v>-1868484968</v>
      </c>
      <c r="Y145">
        <v>70</v>
      </c>
      <c r="AA145">
        <v>18.59</v>
      </c>
      <c r="AB145">
        <v>0</v>
      </c>
      <c r="AC145">
        <v>0</v>
      </c>
      <c r="AD145">
        <v>0</v>
      </c>
      <c r="AE145">
        <v>3.71</v>
      </c>
      <c r="AF145">
        <v>0</v>
      </c>
      <c r="AG145">
        <v>0</v>
      </c>
      <c r="AH145">
        <v>0</v>
      </c>
      <c r="AI145">
        <v>5.01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70</v>
      </c>
      <c r="AU145" t="s">
        <v>3</v>
      </c>
      <c r="AV145">
        <v>0</v>
      </c>
      <c r="AW145">
        <v>2</v>
      </c>
      <c r="AX145">
        <v>48371147</v>
      </c>
      <c r="AY145">
        <v>1</v>
      </c>
      <c r="AZ145">
        <v>0</v>
      </c>
      <c r="BA145">
        <v>146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Y145*Source!I86</f>
        <v>2.758</v>
      </c>
      <c r="CY145">
        <f>AA145</f>
        <v>18.59</v>
      </c>
      <c r="CZ145">
        <f>AE145</f>
        <v>3.71</v>
      </c>
      <c r="DA145">
        <f>AI145</f>
        <v>5.01</v>
      </c>
      <c r="DB145">
        <v>0</v>
      </c>
    </row>
    <row r="146" spans="1:106">
      <c r="A146">
        <f>ROW(Source!A88)</f>
        <v>88</v>
      </c>
      <c r="B146">
        <v>48370320</v>
      </c>
      <c r="C146">
        <v>48371249</v>
      </c>
      <c r="D146">
        <v>23355901</v>
      </c>
      <c r="E146">
        <v>1</v>
      </c>
      <c r="F146">
        <v>1</v>
      </c>
      <c r="G146">
        <v>1</v>
      </c>
      <c r="H146">
        <v>1</v>
      </c>
      <c r="I146" t="s">
        <v>702</v>
      </c>
      <c r="J146" t="s">
        <v>3</v>
      </c>
      <c r="K146" t="s">
        <v>703</v>
      </c>
      <c r="L146">
        <v>1369</v>
      </c>
      <c r="N146">
        <v>1013</v>
      </c>
      <c r="O146" t="s">
        <v>510</v>
      </c>
      <c r="P146" t="s">
        <v>510</v>
      </c>
      <c r="Q146">
        <v>1</v>
      </c>
      <c r="W146">
        <v>0</v>
      </c>
      <c r="X146">
        <v>1915132312</v>
      </c>
      <c r="Y146">
        <v>70.64</v>
      </c>
      <c r="AA146">
        <v>0</v>
      </c>
      <c r="AB146">
        <v>0</v>
      </c>
      <c r="AC146">
        <v>0</v>
      </c>
      <c r="AD146">
        <v>9.27</v>
      </c>
      <c r="AE146">
        <v>0</v>
      </c>
      <c r="AF146">
        <v>0</v>
      </c>
      <c r="AG146">
        <v>0</v>
      </c>
      <c r="AH146">
        <v>9.27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70.64</v>
      </c>
      <c r="AU146" t="s">
        <v>3</v>
      </c>
      <c r="AV146">
        <v>1</v>
      </c>
      <c r="AW146">
        <v>2</v>
      </c>
      <c r="AX146">
        <v>48371250</v>
      </c>
      <c r="AY146">
        <v>1</v>
      </c>
      <c r="AZ146">
        <v>0</v>
      </c>
      <c r="BA146">
        <v>147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Y146*Source!I88</f>
        <v>1.4128000000000001</v>
      </c>
      <c r="CY146">
        <f>AD146</f>
        <v>9.27</v>
      </c>
      <c r="CZ146">
        <f>AH146</f>
        <v>9.27</v>
      </c>
      <c r="DA146">
        <f>AL146</f>
        <v>1</v>
      </c>
      <c r="DB146">
        <v>0</v>
      </c>
    </row>
    <row r="147" spans="1:106">
      <c r="A147">
        <f>ROW(Source!A88)</f>
        <v>88</v>
      </c>
      <c r="B147">
        <v>48370320</v>
      </c>
      <c r="C147">
        <v>48371249</v>
      </c>
      <c r="D147">
        <v>121548</v>
      </c>
      <c r="E147">
        <v>1</v>
      </c>
      <c r="F147">
        <v>1</v>
      </c>
      <c r="G147">
        <v>1</v>
      </c>
      <c r="H147">
        <v>1</v>
      </c>
      <c r="I147" t="s">
        <v>24</v>
      </c>
      <c r="J147" t="s">
        <v>3</v>
      </c>
      <c r="K147" t="s">
        <v>511</v>
      </c>
      <c r="L147">
        <v>608254</v>
      </c>
      <c r="N147">
        <v>1013</v>
      </c>
      <c r="O147" t="s">
        <v>512</v>
      </c>
      <c r="P147" t="s">
        <v>512</v>
      </c>
      <c r="Q147">
        <v>1</v>
      </c>
      <c r="W147">
        <v>0</v>
      </c>
      <c r="X147">
        <v>-185737400</v>
      </c>
      <c r="Y147">
        <v>0.88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0.88</v>
      </c>
      <c r="AU147" t="s">
        <v>3</v>
      </c>
      <c r="AV147">
        <v>2</v>
      </c>
      <c r="AW147">
        <v>2</v>
      </c>
      <c r="AX147">
        <v>48371251</v>
      </c>
      <c r="AY147">
        <v>1</v>
      </c>
      <c r="AZ147">
        <v>0</v>
      </c>
      <c r="BA147">
        <v>148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Y147*Source!I88</f>
        <v>1.7600000000000001E-2</v>
      </c>
      <c r="CY147">
        <f>AD147</f>
        <v>0</v>
      </c>
      <c r="CZ147">
        <f>AH147</f>
        <v>0</v>
      </c>
      <c r="DA147">
        <f>AL147</f>
        <v>1</v>
      </c>
      <c r="DB147">
        <v>0</v>
      </c>
    </row>
    <row r="148" spans="1:106">
      <c r="A148">
        <f>ROW(Source!A88)</f>
        <v>88</v>
      </c>
      <c r="B148">
        <v>48370320</v>
      </c>
      <c r="C148">
        <v>48371249</v>
      </c>
      <c r="D148">
        <v>37802432</v>
      </c>
      <c r="E148">
        <v>1</v>
      </c>
      <c r="F148">
        <v>1</v>
      </c>
      <c r="G148">
        <v>1</v>
      </c>
      <c r="H148">
        <v>2</v>
      </c>
      <c r="I148" t="s">
        <v>704</v>
      </c>
      <c r="J148" t="s">
        <v>705</v>
      </c>
      <c r="K148" t="s">
        <v>706</v>
      </c>
      <c r="L148">
        <v>1368</v>
      </c>
      <c r="N148">
        <v>1011</v>
      </c>
      <c r="O148" t="s">
        <v>516</v>
      </c>
      <c r="P148" t="s">
        <v>516</v>
      </c>
      <c r="Q148">
        <v>1</v>
      </c>
      <c r="W148">
        <v>0</v>
      </c>
      <c r="X148">
        <v>-1424728221</v>
      </c>
      <c r="Y148">
        <v>0.88</v>
      </c>
      <c r="AA148">
        <v>0</v>
      </c>
      <c r="AB148">
        <v>915.75</v>
      </c>
      <c r="AC148">
        <v>252.65</v>
      </c>
      <c r="AD148">
        <v>0</v>
      </c>
      <c r="AE148">
        <v>0</v>
      </c>
      <c r="AF148">
        <v>138.54</v>
      </c>
      <c r="AG148">
        <v>12.1</v>
      </c>
      <c r="AH148">
        <v>0</v>
      </c>
      <c r="AI148">
        <v>1</v>
      </c>
      <c r="AJ148">
        <v>6.61</v>
      </c>
      <c r="AK148">
        <v>20.88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0.88</v>
      </c>
      <c r="AU148" t="s">
        <v>3</v>
      </c>
      <c r="AV148">
        <v>0</v>
      </c>
      <c r="AW148">
        <v>2</v>
      </c>
      <c r="AX148">
        <v>48371252</v>
      </c>
      <c r="AY148">
        <v>1</v>
      </c>
      <c r="AZ148">
        <v>0</v>
      </c>
      <c r="BA148">
        <v>149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Y148*Source!I88</f>
        <v>1.7600000000000001E-2</v>
      </c>
      <c r="CY148">
        <f>AB148</f>
        <v>915.75</v>
      </c>
      <c r="CZ148">
        <f>AF148</f>
        <v>138.54</v>
      </c>
      <c r="DA148">
        <f>AJ148</f>
        <v>6.61</v>
      </c>
      <c r="DB148">
        <v>0</v>
      </c>
    </row>
    <row r="149" spans="1:106">
      <c r="A149">
        <f>ROW(Source!A88)</f>
        <v>88</v>
      </c>
      <c r="B149">
        <v>48370320</v>
      </c>
      <c r="C149">
        <v>48371249</v>
      </c>
      <c r="D149">
        <v>37804065</v>
      </c>
      <c r="E149">
        <v>1</v>
      </c>
      <c r="F149">
        <v>1</v>
      </c>
      <c r="G149">
        <v>1</v>
      </c>
      <c r="H149">
        <v>2</v>
      </c>
      <c r="I149" t="s">
        <v>690</v>
      </c>
      <c r="J149" t="s">
        <v>691</v>
      </c>
      <c r="K149" t="s">
        <v>692</v>
      </c>
      <c r="L149">
        <v>1368</v>
      </c>
      <c r="N149">
        <v>1011</v>
      </c>
      <c r="O149" t="s">
        <v>516</v>
      </c>
      <c r="P149" t="s">
        <v>516</v>
      </c>
      <c r="Q149">
        <v>1</v>
      </c>
      <c r="W149">
        <v>0</v>
      </c>
      <c r="X149">
        <v>835824343</v>
      </c>
      <c r="Y149">
        <v>16.38</v>
      </c>
      <c r="AA149">
        <v>0</v>
      </c>
      <c r="AB149">
        <v>9.74</v>
      </c>
      <c r="AC149">
        <v>0</v>
      </c>
      <c r="AD149">
        <v>0</v>
      </c>
      <c r="AE149">
        <v>0</v>
      </c>
      <c r="AF149">
        <v>2.15</v>
      </c>
      <c r="AG149">
        <v>0</v>
      </c>
      <c r="AH149">
        <v>0</v>
      </c>
      <c r="AI149">
        <v>1</v>
      </c>
      <c r="AJ149">
        <v>4.53</v>
      </c>
      <c r="AK149">
        <v>20.88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3</v>
      </c>
      <c r="AT149">
        <v>16.38</v>
      </c>
      <c r="AU149" t="s">
        <v>3</v>
      </c>
      <c r="AV149">
        <v>0</v>
      </c>
      <c r="AW149">
        <v>2</v>
      </c>
      <c r="AX149">
        <v>48371253</v>
      </c>
      <c r="AY149">
        <v>1</v>
      </c>
      <c r="AZ149">
        <v>0</v>
      </c>
      <c r="BA149">
        <v>150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Y149*Source!I88</f>
        <v>0.3276</v>
      </c>
      <c r="CY149">
        <f>AB149</f>
        <v>9.74</v>
      </c>
      <c r="CZ149">
        <f>AF149</f>
        <v>2.15</v>
      </c>
      <c r="DA149">
        <f>AJ149</f>
        <v>4.53</v>
      </c>
      <c r="DB149">
        <v>0</v>
      </c>
    </row>
    <row r="150" spans="1:106">
      <c r="A150">
        <f>ROW(Source!A88)</f>
        <v>88</v>
      </c>
      <c r="B150">
        <v>48370320</v>
      </c>
      <c r="C150">
        <v>48371249</v>
      </c>
      <c r="D150">
        <v>37804456</v>
      </c>
      <c r="E150">
        <v>1</v>
      </c>
      <c r="F150">
        <v>1</v>
      </c>
      <c r="G150">
        <v>1</v>
      </c>
      <c r="H150">
        <v>2</v>
      </c>
      <c r="I150" t="s">
        <v>530</v>
      </c>
      <c r="J150" t="s">
        <v>531</v>
      </c>
      <c r="K150" t="s">
        <v>532</v>
      </c>
      <c r="L150">
        <v>1368</v>
      </c>
      <c r="N150">
        <v>1011</v>
      </c>
      <c r="O150" t="s">
        <v>516</v>
      </c>
      <c r="P150" t="s">
        <v>516</v>
      </c>
      <c r="Q150">
        <v>1</v>
      </c>
      <c r="W150">
        <v>0</v>
      </c>
      <c r="X150">
        <v>-671646184</v>
      </c>
      <c r="Y150">
        <v>0.87</v>
      </c>
      <c r="AA150">
        <v>0</v>
      </c>
      <c r="AB150">
        <v>844.19</v>
      </c>
      <c r="AC150">
        <v>216.11</v>
      </c>
      <c r="AD150">
        <v>0</v>
      </c>
      <c r="AE150">
        <v>0</v>
      </c>
      <c r="AF150">
        <v>91.76</v>
      </c>
      <c r="AG150">
        <v>10.35</v>
      </c>
      <c r="AH150">
        <v>0</v>
      </c>
      <c r="AI150">
        <v>1</v>
      </c>
      <c r="AJ150">
        <v>9.1999999999999993</v>
      </c>
      <c r="AK150">
        <v>20.88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S150" t="s">
        <v>3</v>
      </c>
      <c r="AT150">
        <v>0.87</v>
      </c>
      <c r="AU150" t="s">
        <v>3</v>
      </c>
      <c r="AV150">
        <v>0</v>
      </c>
      <c r="AW150">
        <v>2</v>
      </c>
      <c r="AX150">
        <v>48371254</v>
      </c>
      <c r="AY150">
        <v>1</v>
      </c>
      <c r="AZ150">
        <v>0</v>
      </c>
      <c r="BA150">
        <v>151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Y150*Source!I88</f>
        <v>1.7399999999999999E-2</v>
      </c>
      <c r="CY150">
        <f>AB150</f>
        <v>844.19</v>
      </c>
      <c r="CZ150">
        <f>AF150</f>
        <v>91.76</v>
      </c>
      <c r="DA150">
        <f>AJ150</f>
        <v>9.1999999999999993</v>
      </c>
      <c r="DB150">
        <v>0</v>
      </c>
    </row>
    <row r="151" spans="1:106">
      <c r="A151">
        <f>ROW(Source!A88)</f>
        <v>88</v>
      </c>
      <c r="B151">
        <v>48370320</v>
      </c>
      <c r="C151">
        <v>48371249</v>
      </c>
      <c r="D151">
        <v>37736880</v>
      </c>
      <c r="E151">
        <v>1</v>
      </c>
      <c r="F151">
        <v>1</v>
      </c>
      <c r="G151">
        <v>1</v>
      </c>
      <c r="H151">
        <v>3</v>
      </c>
      <c r="I151" t="s">
        <v>707</v>
      </c>
      <c r="J151" t="s">
        <v>708</v>
      </c>
      <c r="K151" t="s">
        <v>709</v>
      </c>
      <c r="L151">
        <v>1348</v>
      </c>
      <c r="N151">
        <v>1009</v>
      </c>
      <c r="O151" t="s">
        <v>536</v>
      </c>
      <c r="P151" t="s">
        <v>536</v>
      </c>
      <c r="Q151">
        <v>1000</v>
      </c>
      <c r="W151">
        <v>0</v>
      </c>
      <c r="X151">
        <v>-552055462</v>
      </c>
      <c r="Y151">
        <v>3.0599999999999998E-3</v>
      </c>
      <c r="AA151">
        <v>55306.879999999997</v>
      </c>
      <c r="AB151">
        <v>0</v>
      </c>
      <c r="AC151">
        <v>0</v>
      </c>
      <c r="AD151">
        <v>0</v>
      </c>
      <c r="AE151">
        <v>13424</v>
      </c>
      <c r="AF151">
        <v>0</v>
      </c>
      <c r="AG151">
        <v>0</v>
      </c>
      <c r="AH151">
        <v>0</v>
      </c>
      <c r="AI151">
        <v>4.12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3</v>
      </c>
      <c r="AT151">
        <v>3.0599999999999998E-3</v>
      </c>
      <c r="AU151" t="s">
        <v>3</v>
      </c>
      <c r="AV151">
        <v>0</v>
      </c>
      <c r="AW151">
        <v>2</v>
      </c>
      <c r="AX151">
        <v>48371255</v>
      </c>
      <c r="AY151">
        <v>1</v>
      </c>
      <c r="AZ151">
        <v>0</v>
      </c>
      <c r="BA151">
        <v>152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Y151*Source!I88</f>
        <v>6.1199999999999997E-5</v>
      </c>
      <c r="CY151">
        <f>AA151</f>
        <v>55306.879999999997</v>
      </c>
      <c r="CZ151">
        <f>AE151</f>
        <v>13424</v>
      </c>
      <c r="DA151">
        <f>AI151</f>
        <v>4.12</v>
      </c>
      <c r="DB151">
        <v>0</v>
      </c>
    </row>
    <row r="152" spans="1:106">
      <c r="A152">
        <f>ROW(Source!A88)</f>
        <v>88</v>
      </c>
      <c r="B152">
        <v>48370320</v>
      </c>
      <c r="C152">
        <v>48371249</v>
      </c>
      <c r="D152">
        <v>37733044</v>
      </c>
      <c r="E152">
        <v>1</v>
      </c>
      <c r="F152">
        <v>1</v>
      </c>
      <c r="G152">
        <v>1</v>
      </c>
      <c r="H152">
        <v>3</v>
      </c>
      <c r="I152" t="s">
        <v>710</v>
      </c>
      <c r="J152" t="s">
        <v>711</v>
      </c>
      <c r="K152" t="s">
        <v>712</v>
      </c>
      <c r="L152">
        <v>1346</v>
      </c>
      <c r="N152">
        <v>1009</v>
      </c>
      <c r="O152" t="s">
        <v>172</v>
      </c>
      <c r="P152" t="s">
        <v>172</v>
      </c>
      <c r="Q152">
        <v>1</v>
      </c>
      <c r="W152">
        <v>0</v>
      </c>
      <c r="X152">
        <v>-572780356</v>
      </c>
      <c r="Y152">
        <v>0.31</v>
      </c>
      <c r="AA152">
        <v>128.03</v>
      </c>
      <c r="AB152">
        <v>0</v>
      </c>
      <c r="AC152">
        <v>0</v>
      </c>
      <c r="AD152">
        <v>0</v>
      </c>
      <c r="AE152">
        <v>31</v>
      </c>
      <c r="AF152">
        <v>0</v>
      </c>
      <c r="AG152">
        <v>0</v>
      </c>
      <c r="AH152">
        <v>0</v>
      </c>
      <c r="AI152">
        <v>4.13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3</v>
      </c>
      <c r="AT152">
        <v>0.31</v>
      </c>
      <c r="AU152" t="s">
        <v>3</v>
      </c>
      <c r="AV152">
        <v>0</v>
      </c>
      <c r="AW152">
        <v>2</v>
      </c>
      <c r="AX152">
        <v>48371256</v>
      </c>
      <c r="AY152">
        <v>1</v>
      </c>
      <c r="AZ152">
        <v>0</v>
      </c>
      <c r="BA152">
        <v>153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Y152*Source!I88</f>
        <v>6.1999999999999998E-3</v>
      </c>
      <c r="CY152">
        <f>AA152</f>
        <v>128.03</v>
      </c>
      <c r="CZ152">
        <f>AE152</f>
        <v>31</v>
      </c>
      <c r="DA152">
        <f>AI152</f>
        <v>4.13</v>
      </c>
      <c r="DB152">
        <v>0</v>
      </c>
    </row>
    <row r="153" spans="1:106">
      <c r="A153">
        <f>ROW(Source!A88)</f>
        <v>88</v>
      </c>
      <c r="B153">
        <v>48370320</v>
      </c>
      <c r="C153">
        <v>48371249</v>
      </c>
      <c r="D153">
        <v>37737061</v>
      </c>
      <c r="E153">
        <v>1</v>
      </c>
      <c r="F153">
        <v>1</v>
      </c>
      <c r="G153">
        <v>1</v>
      </c>
      <c r="H153">
        <v>3</v>
      </c>
      <c r="I153" t="s">
        <v>713</v>
      </c>
      <c r="J153" t="s">
        <v>714</v>
      </c>
      <c r="K153" t="s">
        <v>715</v>
      </c>
      <c r="L153">
        <v>1355</v>
      </c>
      <c r="N153">
        <v>1010</v>
      </c>
      <c r="O153" t="s">
        <v>64</v>
      </c>
      <c r="P153" t="s">
        <v>64</v>
      </c>
      <c r="Q153">
        <v>100</v>
      </c>
      <c r="W153">
        <v>0</v>
      </c>
      <c r="X153">
        <v>2122249271</v>
      </c>
      <c r="Y153">
        <v>4.08</v>
      </c>
      <c r="AA153">
        <v>157.99</v>
      </c>
      <c r="AB153">
        <v>0</v>
      </c>
      <c r="AC153">
        <v>0</v>
      </c>
      <c r="AD153">
        <v>0</v>
      </c>
      <c r="AE153">
        <v>87.29</v>
      </c>
      <c r="AF153">
        <v>0</v>
      </c>
      <c r="AG153">
        <v>0</v>
      </c>
      <c r="AH153">
        <v>0</v>
      </c>
      <c r="AI153">
        <v>1.81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3</v>
      </c>
      <c r="AT153">
        <v>4.08</v>
      </c>
      <c r="AU153" t="s">
        <v>3</v>
      </c>
      <c r="AV153">
        <v>0</v>
      </c>
      <c r="AW153">
        <v>2</v>
      </c>
      <c r="AX153">
        <v>48371257</v>
      </c>
      <c r="AY153">
        <v>1</v>
      </c>
      <c r="AZ153">
        <v>0</v>
      </c>
      <c r="BA153">
        <v>154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Y153*Source!I88</f>
        <v>8.1600000000000006E-2</v>
      </c>
      <c r="CY153">
        <f>AA153</f>
        <v>157.99</v>
      </c>
      <c r="CZ153">
        <f>AE153</f>
        <v>87.29</v>
      </c>
      <c r="DA153">
        <f>AI153</f>
        <v>1.81</v>
      </c>
      <c r="DB153">
        <v>0</v>
      </c>
    </row>
    <row r="154" spans="1:106">
      <c r="A154">
        <f>ROW(Source!A88)</f>
        <v>88</v>
      </c>
      <c r="B154">
        <v>48370320</v>
      </c>
      <c r="C154">
        <v>48371249</v>
      </c>
      <c r="D154">
        <v>37792542</v>
      </c>
      <c r="E154">
        <v>1</v>
      </c>
      <c r="F154">
        <v>1</v>
      </c>
      <c r="G154">
        <v>1</v>
      </c>
      <c r="H154">
        <v>3</v>
      </c>
      <c r="I154" t="s">
        <v>716</v>
      </c>
      <c r="J154" t="s">
        <v>717</v>
      </c>
      <c r="K154" t="s">
        <v>718</v>
      </c>
      <c r="L154">
        <v>1355</v>
      </c>
      <c r="N154">
        <v>1010</v>
      </c>
      <c r="O154" t="s">
        <v>64</v>
      </c>
      <c r="P154" t="s">
        <v>64</v>
      </c>
      <c r="Q154">
        <v>100</v>
      </c>
      <c r="W154">
        <v>0</v>
      </c>
      <c r="X154">
        <v>-2047580805</v>
      </c>
      <c r="Y154">
        <v>1.02</v>
      </c>
      <c r="AA154">
        <v>501.41</v>
      </c>
      <c r="AB154">
        <v>0</v>
      </c>
      <c r="AC154">
        <v>0</v>
      </c>
      <c r="AD154">
        <v>0</v>
      </c>
      <c r="AE154">
        <v>101.5</v>
      </c>
      <c r="AF154">
        <v>0</v>
      </c>
      <c r="AG154">
        <v>0</v>
      </c>
      <c r="AH154">
        <v>0</v>
      </c>
      <c r="AI154">
        <v>4.9400000000000004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3</v>
      </c>
      <c r="AT154">
        <v>1.02</v>
      </c>
      <c r="AU154" t="s">
        <v>3</v>
      </c>
      <c r="AV154">
        <v>0</v>
      </c>
      <c r="AW154">
        <v>2</v>
      </c>
      <c r="AX154">
        <v>48371258</v>
      </c>
      <c r="AY154">
        <v>1</v>
      </c>
      <c r="AZ154">
        <v>0</v>
      </c>
      <c r="BA154">
        <v>155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Y154*Source!I88</f>
        <v>2.0400000000000001E-2</v>
      </c>
      <c r="CY154">
        <f>AA154</f>
        <v>501.41</v>
      </c>
      <c r="CZ154">
        <f>AE154</f>
        <v>101.5</v>
      </c>
      <c r="DA154">
        <f>AI154</f>
        <v>4.9400000000000004</v>
      </c>
      <c r="DB154">
        <v>0</v>
      </c>
    </row>
    <row r="155" spans="1:106">
      <c r="A155">
        <f>ROW(Source!A88)</f>
        <v>88</v>
      </c>
      <c r="B155">
        <v>48370320</v>
      </c>
      <c r="C155">
        <v>48371249</v>
      </c>
      <c r="D155">
        <v>37801918</v>
      </c>
      <c r="E155">
        <v>1</v>
      </c>
      <c r="F155">
        <v>1</v>
      </c>
      <c r="G155">
        <v>1</v>
      </c>
      <c r="H155">
        <v>3</v>
      </c>
      <c r="I155" t="s">
        <v>719</v>
      </c>
      <c r="J155" t="s">
        <v>720</v>
      </c>
      <c r="K155" t="s">
        <v>721</v>
      </c>
      <c r="L155">
        <v>1374</v>
      </c>
      <c r="N155">
        <v>1013</v>
      </c>
      <c r="O155" t="s">
        <v>722</v>
      </c>
      <c r="P155" t="s">
        <v>722</v>
      </c>
      <c r="Q155">
        <v>1</v>
      </c>
      <c r="W155">
        <v>0</v>
      </c>
      <c r="X155">
        <v>2131831278</v>
      </c>
      <c r="Y155">
        <v>13.1</v>
      </c>
      <c r="AA155">
        <v>1</v>
      </c>
      <c r="AB155">
        <v>0</v>
      </c>
      <c r="AC155">
        <v>0</v>
      </c>
      <c r="AD155">
        <v>0</v>
      </c>
      <c r="AE155">
        <v>1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3</v>
      </c>
      <c r="AT155">
        <v>13.1</v>
      </c>
      <c r="AU155" t="s">
        <v>3</v>
      </c>
      <c r="AV155">
        <v>0</v>
      </c>
      <c r="AW155">
        <v>2</v>
      </c>
      <c r="AX155">
        <v>48371259</v>
      </c>
      <c r="AY155">
        <v>1</v>
      </c>
      <c r="AZ155">
        <v>0</v>
      </c>
      <c r="BA155">
        <v>156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Y155*Source!I88</f>
        <v>0.26200000000000001</v>
      </c>
      <c r="CY155">
        <f>AA155</f>
        <v>1</v>
      </c>
      <c r="CZ155">
        <f>AE155</f>
        <v>1</v>
      </c>
      <c r="DA155">
        <f>AI155</f>
        <v>1</v>
      </c>
      <c r="DB155">
        <v>0</v>
      </c>
    </row>
    <row r="156" spans="1:106">
      <c r="A156">
        <f>ROW(Source!A90)</f>
        <v>90</v>
      </c>
      <c r="B156">
        <v>48370320</v>
      </c>
      <c r="C156">
        <v>48371419</v>
      </c>
      <c r="D156">
        <v>23135499</v>
      </c>
      <c r="E156">
        <v>1</v>
      </c>
      <c r="F156">
        <v>1</v>
      </c>
      <c r="G156">
        <v>1</v>
      </c>
      <c r="H156">
        <v>1</v>
      </c>
      <c r="I156" t="s">
        <v>623</v>
      </c>
      <c r="J156" t="s">
        <v>3</v>
      </c>
      <c r="K156" t="s">
        <v>624</v>
      </c>
      <c r="L156">
        <v>1369</v>
      </c>
      <c r="N156">
        <v>1013</v>
      </c>
      <c r="O156" t="s">
        <v>510</v>
      </c>
      <c r="P156" t="s">
        <v>510</v>
      </c>
      <c r="Q156">
        <v>1</v>
      </c>
      <c r="W156">
        <v>0</v>
      </c>
      <c r="X156">
        <v>-499460097</v>
      </c>
      <c r="Y156">
        <v>24.897499999999997</v>
      </c>
      <c r="AA156">
        <v>0</v>
      </c>
      <c r="AB156">
        <v>0</v>
      </c>
      <c r="AC156">
        <v>0</v>
      </c>
      <c r="AD156">
        <v>8.99</v>
      </c>
      <c r="AE156">
        <v>0</v>
      </c>
      <c r="AF156">
        <v>0</v>
      </c>
      <c r="AG156">
        <v>0</v>
      </c>
      <c r="AH156">
        <v>8.99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3</v>
      </c>
      <c r="AT156">
        <v>21.65</v>
      </c>
      <c r="AU156" t="s">
        <v>161</v>
      </c>
      <c r="AV156">
        <v>1</v>
      </c>
      <c r="AW156">
        <v>2</v>
      </c>
      <c r="AX156">
        <v>48371420</v>
      </c>
      <c r="AY156">
        <v>1</v>
      </c>
      <c r="AZ156">
        <v>0</v>
      </c>
      <c r="BA156">
        <v>157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Y156*Source!I90</f>
        <v>2.4897499999999999</v>
      </c>
      <c r="CY156">
        <f>AD156</f>
        <v>8.99</v>
      </c>
      <c r="CZ156">
        <f>AH156</f>
        <v>8.99</v>
      </c>
      <c r="DA156">
        <f>AL156</f>
        <v>1</v>
      </c>
      <c r="DB156">
        <v>0</v>
      </c>
    </row>
    <row r="157" spans="1:106">
      <c r="A157">
        <f>ROW(Source!A90)</f>
        <v>90</v>
      </c>
      <c r="B157">
        <v>48370320</v>
      </c>
      <c r="C157">
        <v>48371419</v>
      </c>
      <c r="D157">
        <v>121548</v>
      </c>
      <c r="E157">
        <v>1</v>
      </c>
      <c r="F157">
        <v>1</v>
      </c>
      <c r="G157">
        <v>1</v>
      </c>
      <c r="H157">
        <v>1</v>
      </c>
      <c r="I157" t="s">
        <v>24</v>
      </c>
      <c r="J157" t="s">
        <v>3</v>
      </c>
      <c r="K157" t="s">
        <v>511</v>
      </c>
      <c r="L157">
        <v>608254</v>
      </c>
      <c r="N157">
        <v>1013</v>
      </c>
      <c r="O157" t="s">
        <v>512</v>
      </c>
      <c r="P157" t="s">
        <v>512</v>
      </c>
      <c r="Q157">
        <v>1</v>
      </c>
      <c r="W157">
        <v>0</v>
      </c>
      <c r="X157">
        <v>-185737400</v>
      </c>
      <c r="Y157">
        <v>0.16250000000000001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S157" t="s">
        <v>3</v>
      </c>
      <c r="AT157">
        <v>0.13</v>
      </c>
      <c r="AU157" t="s">
        <v>160</v>
      </c>
      <c r="AV157">
        <v>2</v>
      </c>
      <c r="AW157">
        <v>2</v>
      </c>
      <c r="AX157">
        <v>48371421</v>
      </c>
      <c r="AY157">
        <v>1</v>
      </c>
      <c r="AZ157">
        <v>0</v>
      </c>
      <c r="BA157">
        <v>158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Y157*Source!I90</f>
        <v>1.6250000000000001E-2</v>
      </c>
      <c r="CY157">
        <f>AD157</f>
        <v>0</v>
      </c>
      <c r="CZ157">
        <f>AH157</f>
        <v>0</v>
      </c>
      <c r="DA157">
        <f>AL157</f>
        <v>1</v>
      </c>
      <c r="DB157">
        <v>0</v>
      </c>
    </row>
    <row r="158" spans="1:106">
      <c r="A158">
        <f>ROW(Source!A90)</f>
        <v>90</v>
      </c>
      <c r="B158">
        <v>48370320</v>
      </c>
      <c r="C158">
        <v>48371419</v>
      </c>
      <c r="D158">
        <v>37802578</v>
      </c>
      <c r="E158">
        <v>1</v>
      </c>
      <c r="F158">
        <v>1</v>
      </c>
      <c r="G158">
        <v>1</v>
      </c>
      <c r="H158">
        <v>2</v>
      </c>
      <c r="I158" t="s">
        <v>550</v>
      </c>
      <c r="J158" t="s">
        <v>551</v>
      </c>
      <c r="K158" t="s">
        <v>552</v>
      </c>
      <c r="L158">
        <v>1368</v>
      </c>
      <c r="N158">
        <v>1011</v>
      </c>
      <c r="O158" t="s">
        <v>516</v>
      </c>
      <c r="P158" t="s">
        <v>516</v>
      </c>
      <c r="Q158">
        <v>1</v>
      </c>
      <c r="W158">
        <v>0</v>
      </c>
      <c r="X158">
        <v>1753337916</v>
      </c>
      <c r="Y158">
        <v>0.16250000000000001</v>
      </c>
      <c r="AA158">
        <v>0</v>
      </c>
      <c r="AB158">
        <v>327.64</v>
      </c>
      <c r="AC158">
        <v>252.65</v>
      </c>
      <c r="AD158">
        <v>0</v>
      </c>
      <c r="AE158">
        <v>0</v>
      </c>
      <c r="AF158">
        <v>32.090000000000003</v>
      </c>
      <c r="AG158">
        <v>12.1</v>
      </c>
      <c r="AH158">
        <v>0</v>
      </c>
      <c r="AI158">
        <v>1</v>
      </c>
      <c r="AJ158">
        <v>10.210000000000001</v>
      </c>
      <c r="AK158">
        <v>20.88</v>
      </c>
      <c r="AL158">
        <v>1</v>
      </c>
      <c r="AN158">
        <v>0</v>
      </c>
      <c r="AO158">
        <v>1</v>
      </c>
      <c r="AP158">
        <v>1</v>
      </c>
      <c r="AQ158">
        <v>0</v>
      </c>
      <c r="AR158">
        <v>0</v>
      </c>
      <c r="AS158" t="s">
        <v>3</v>
      </c>
      <c r="AT158">
        <v>0.13</v>
      </c>
      <c r="AU158" t="s">
        <v>160</v>
      </c>
      <c r="AV158">
        <v>0</v>
      </c>
      <c r="AW158">
        <v>2</v>
      </c>
      <c r="AX158">
        <v>48371422</v>
      </c>
      <c r="AY158">
        <v>1</v>
      </c>
      <c r="AZ158">
        <v>0</v>
      </c>
      <c r="BA158">
        <v>159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Y158*Source!I90</f>
        <v>1.6250000000000001E-2</v>
      </c>
      <c r="CY158">
        <f>AB158</f>
        <v>327.64</v>
      </c>
      <c r="CZ158">
        <f>AF158</f>
        <v>32.090000000000003</v>
      </c>
      <c r="DA158">
        <f>AJ158</f>
        <v>10.210000000000001</v>
      </c>
      <c r="DB158">
        <v>0</v>
      </c>
    </row>
    <row r="159" spans="1:106">
      <c r="A159">
        <f>ROW(Source!A90)</f>
        <v>90</v>
      </c>
      <c r="B159">
        <v>48370320</v>
      </c>
      <c r="C159">
        <v>48371419</v>
      </c>
      <c r="D159">
        <v>37804065</v>
      </c>
      <c r="E159">
        <v>1</v>
      </c>
      <c r="F159">
        <v>1</v>
      </c>
      <c r="G159">
        <v>1</v>
      </c>
      <c r="H159">
        <v>2</v>
      </c>
      <c r="I159" t="s">
        <v>690</v>
      </c>
      <c r="J159" t="s">
        <v>691</v>
      </c>
      <c r="K159" t="s">
        <v>692</v>
      </c>
      <c r="L159">
        <v>1368</v>
      </c>
      <c r="N159">
        <v>1011</v>
      </c>
      <c r="O159" t="s">
        <v>516</v>
      </c>
      <c r="P159" t="s">
        <v>516</v>
      </c>
      <c r="Q159">
        <v>1</v>
      </c>
      <c r="W159">
        <v>0</v>
      </c>
      <c r="X159">
        <v>835824343</v>
      </c>
      <c r="Y159">
        <v>0.25</v>
      </c>
      <c r="AA159">
        <v>0</v>
      </c>
      <c r="AB159">
        <v>9.74</v>
      </c>
      <c r="AC159">
        <v>0</v>
      </c>
      <c r="AD159">
        <v>0</v>
      </c>
      <c r="AE159">
        <v>0</v>
      </c>
      <c r="AF159">
        <v>2.15</v>
      </c>
      <c r="AG159">
        <v>0</v>
      </c>
      <c r="AH159">
        <v>0</v>
      </c>
      <c r="AI159">
        <v>1</v>
      </c>
      <c r="AJ159">
        <v>4.53</v>
      </c>
      <c r="AK159">
        <v>20.88</v>
      </c>
      <c r="AL159">
        <v>1</v>
      </c>
      <c r="AN159">
        <v>0</v>
      </c>
      <c r="AO159">
        <v>1</v>
      </c>
      <c r="AP159">
        <v>1</v>
      </c>
      <c r="AQ159">
        <v>0</v>
      </c>
      <c r="AR159">
        <v>0</v>
      </c>
      <c r="AS159" t="s">
        <v>3</v>
      </c>
      <c r="AT159">
        <v>0.2</v>
      </c>
      <c r="AU159" t="s">
        <v>160</v>
      </c>
      <c r="AV159">
        <v>0</v>
      </c>
      <c r="AW159">
        <v>2</v>
      </c>
      <c r="AX159">
        <v>48371423</v>
      </c>
      <c r="AY159">
        <v>1</v>
      </c>
      <c r="AZ159">
        <v>0</v>
      </c>
      <c r="BA159">
        <v>160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Y159*Source!I90</f>
        <v>2.5000000000000001E-2</v>
      </c>
      <c r="CY159">
        <f>AB159</f>
        <v>9.74</v>
      </c>
      <c r="CZ159">
        <f>AF159</f>
        <v>2.15</v>
      </c>
      <c r="DA159">
        <f>AJ159</f>
        <v>4.53</v>
      </c>
      <c r="DB159">
        <v>0</v>
      </c>
    </row>
    <row r="160" spans="1:106">
      <c r="A160">
        <f>ROW(Source!A90)</f>
        <v>90</v>
      </c>
      <c r="B160">
        <v>48370320</v>
      </c>
      <c r="C160">
        <v>48371419</v>
      </c>
      <c r="D160">
        <v>37804456</v>
      </c>
      <c r="E160">
        <v>1</v>
      </c>
      <c r="F160">
        <v>1</v>
      </c>
      <c r="G160">
        <v>1</v>
      </c>
      <c r="H160">
        <v>2</v>
      </c>
      <c r="I160" t="s">
        <v>530</v>
      </c>
      <c r="J160" t="s">
        <v>531</v>
      </c>
      <c r="K160" t="s">
        <v>532</v>
      </c>
      <c r="L160">
        <v>1368</v>
      </c>
      <c r="N160">
        <v>1011</v>
      </c>
      <c r="O160" t="s">
        <v>516</v>
      </c>
      <c r="P160" t="s">
        <v>516</v>
      </c>
      <c r="Q160">
        <v>1</v>
      </c>
      <c r="W160">
        <v>0</v>
      </c>
      <c r="X160">
        <v>-671646184</v>
      </c>
      <c r="Y160">
        <v>0.27500000000000002</v>
      </c>
      <c r="AA160">
        <v>0</v>
      </c>
      <c r="AB160">
        <v>844.19</v>
      </c>
      <c r="AC160">
        <v>216.11</v>
      </c>
      <c r="AD160">
        <v>0</v>
      </c>
      <c r="AE160">
        <v>0</v>
      </c>
      <c r="AF160">
        <v>91.76</v>
      </c>
      <c r="AG160">
        <v>10.35</v>
      </c>
      <c r="AH160">
        <v>0</v>
      </c>
      <c r="AI160">
        <v>1</v>
      </c>
      <c r="AJ160">
        <v>9.1999999999999993</v>
      </c>
      <c r="AK160">
        <v>20.88</v>
      </c>
      <c r="AL160">
        <v>1</v>
      </c>
      <c r="AN160">
        <v>0</v>
      </c>
      <c r="AO160">
        <v>1</v>
      </c>
      <c r="AP160">
        <v>1</v>
      </c>
      <c r="AQ160">
        <v>0</v>
      </c>
      <c r="AR160">
        <v>0</v>
      </c>
      <c r="AS160" t="s">
        <v>3</v>
      </c>
      <c r="AT160">
        <v>0.22</v>
      </c>
      <c r="AU160" t="s">
        <v>160</v>
      </c>
      <c r="AV160">
        <v>0</v>
      </c>
      <c r="AW160">
        <v>2</v>
      </c>
      <c r="AX160">
        <v>48371424</v>
      </c>
      <c r="AY160">
        <v>1</v>
      </c>
      <c r="AZ160">
        <v>0</v>
      </c>
      <c r="BA160">
        <v>161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Y160*Source!I90</f>
        <v>2.7500000000000004E-2</v>
      </c>
      <c r="CY160">
        <f>AB160</f>
        <v>844.19</v>
      </c>
      <c r="CZ160">
        <f>AF160</f>
        <v>91.76</v>
      </c>
      <c r="DA160">
        <f>AJ160</f>
        <v>9.1999999999999993</v>
      </c>
      <c r="DB160">
        <v>0</v>
      </c>
    </row>
    <row r="161" spans="1:106">
      <c r="A161">
        <f>ROW(Source!A90)</f>
        <v>90</v>
      </c>
      <c r="B161">
        <v>48370320</v>
      </c>
      <c r="C161">
        <v>48371419</v>
      </c>
      <c r="D161">
        <v>37732516</v>
      </c>
      <c r="E161">
        <v>1</v>
      </c>
      <c r="F161">
        <v>1</v>
      </c>
      <c r="G161">
        <v>1</v>
      </c>
      <c r="H161">
        <v>3</v>
      </c>
      <c r="I161" t="s">
        <v>723</v>
      </c>
      <c r="J161" t="s">
        <v>724</v>
      </c>
      <c r="K161" t="s">
        <v>725</v>
      </c>
      <c r="L161">
        <v>1348</v>
      </c>
      <c r="N161">
        <v>1009</v>
      </c>
      <c r="O161" t="s">
        <v>536</v>
      </c>
      <c r="P161" t="s">
        <v>536</v>
      </c>
      <c r="Q161">
        <v>1000</v>
      </c>
      <c r="W161">
        <v>0</v>
      </c>
      <c r="X161">
        <v>593844519</v>
      </c>
      <c r="Y161">
        <v>0</v>
      </c>
      <c r="AA161">
        <v>52611.02</v>
      </c>
      <c r="AB161">
        <v>0</v>
      </c>
      <c r="AC161">
        <v>0</v>
      </c>
      <c r="AD161">
        <v>0</v>
      </c>
      <c r="AE161">
        <v>20713</v>
      </c>
      <c r="AF161">
        <v>0</v>
      </c>
      <c r="AG161">
        <v>0</v>
      </c>
      <c r="AH161">
        <v>0</v>
      </c>
      <c r="AI161">
        <v>2.54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1</v>
      </c>
      <c r="AQ161">
        <v>0</v>
      </c>
      <c r="AR161">
        <v>0</v>
      </c>
      <c r="AS161" t="s">
        <v>3</v>
      </c>
      <c r="AT161">
        <v>4.0000000000000002E-4</v>
      </c>
      <c r="AU161" t="s">
        <v>230</v>
      </c>
      <c r="AV161">
        <v>0</v>
      </c>
      <c r="AW161">
        <v>2</v>
      </c>
      <c r="AX161">
        <v>48371425</v>
      </c>
      <c r="AY161">
        <v>1</v>
      </c>
      <c r="AZ161">
        <v>0</v>
      </c>
      <c r="BA161">
        <v>162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Y161*Source!I90</f>
        <v>0</v>
      </c>
      <c r="CY161">
        <f t="shared" ref="CY161:CY168" si="9">AA161</f>
        <v>52611.02</v>
      </c>
      <c r="CZ161">
        <f t="shared" ref="CZ161:CZ168" si="10">AE161</f>
        <v>20713</v>
      </c>
      <c r="DA161">
        <f t="shared" ref="DA161:DA168" si="11">AI161</f>
        <v>2.54</v>
      </c>
      <c r="DB161">
        <v>0</v>
      </c>
    </row>
    <row r="162" spans="1:106">
      <c r="A162">
        <f>ROW(Source!A90)</f>
        <v>90</v>
      </c>
      <c r="B162">
        <v>48370320</v>
      </c>
      <c r="C162">
        <v>48371419</v>
      </c>
      <c r="D162">
        <v>37732761</v>
      </c>
      <c r="E162">
        <v>1</v>
      </c>
      <c r="F162">
        <v>1</v>
      </c>
      <c r="G162">
        <v>1</v>
      </c>
      <c r="H162">
        <v>3</v>
      </c>
      <c r="I162" t="s">
        <v>726</v>
      </c>
      <c r="J162" t="s">
        <v>727</v>
      </c>
      <c r="K162" t="s">
        <v>728</v>
      </c>
      <c r="L162">
        <v>1348</v>
      </c>
      <c r="N162">
        <v>1009</v>
      </c>
      <c r="O162" t="s">
        <v>536</v>
      </c>
      <c r="P162" t="s">
        <v>536</v>
      </c>
      <c r="Q162">
        <v>1000</v>
      </c>
      <c r="W162">
        <v>0</v>
      </c>
      <c r="X162">
        <v>-1171140754</v>
      </c>
      <c r="Y162">
        <v>0</v>
      </c>
      <c r="AA162">
        <v>64680.37</v>
      </c>
      <c r="AB162">
        <v>0</v>
      </c>
      <c r="AC162">
        <v>0</v>
      </c>
      <c r="AD162">
        <v>0</v>
      </c>
      <c r="AE162">
        <v>17917</v>
      </c>
      <c r="AF162">
        <v>0</v>
      </c>
      <c r="AG162">
        <v>0</v>
      </c>
      <c r="AH162">
        <v>0</v>
      </c>
      <c r="AI162">
        <v>3.61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1</v>
      </c>
      <c r="AQ162">
        <v>0</v>
      </c>
      <c r="AR162">
        <v>0</v>
      </c>
      <c r="AS162" t="s">
        <v>3</v>
      </c>
      <c r="AT162">
        <v>2.0000000000000001E-4</v>
      </c>
      <c r="AU162" t="s">
        <v>230</v>
      </c>
      <c r="AV162">
        <v>0</v>
      </c>
      <c r="AW162">
        <v>2</v>
      </c>
      <c r="AX162">
        <v>48371426</v>
      </c>
      <c r="AY162">
        <v>1</v>
      </c>
      <c r="AZ162">
        <v>0</v>
      </c>
      <c r="BA162">
        <v>163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Y162*Source!I90</f>
        <v>0</v>
      </c>
      <c r="CY162">
        <f t="shared" si="9"/>
        <v>64680.37</v>
      </c>
      <c r="CZ162">
        <f t="shared" si="10"/>
        <v>17917</v>
      </c>
      <c r="DA162">
        <f t="shared" si="11"/>
        <v>3.61</v>
      </c>
      <c r="DB162">
        <v>0</v>
      </c>
    </row>
    <row r="163" spans="1:106">
      <c r="A163">
        <f>ROW(Source!A90)</f>
        <v>90</v>
      </c>
      <c r="B163">
        <v>48370320</v>
      </c>
      <c r="C163">
        <v>48371419</v>
      </c>
      <c r="D163">
        <v>37735405</v>
      </c>
      <c r="E163">
        <v>1</v>
      </c>
      <c r="F163">
        <v>1</v>
      </c>
      <c r="G163">
        <v>1</v>
      </c>
      <c r="H163">
        <v>3</v>
      </c>
      <c r="I163" t="s">
        <v>729</v>
      </c>
      <c r="J163" t="s">
        <v>730</v>
      </c>
      <c r="K163" t="s">
        <v>731</v>
      </c>
      <c r="L163">
        <v>1348</v>
      </c>
      <c r="N163">
        <v>1009</v>
      </c>
      <c r="O163" t="s">
        <v>536</v>
      </c>
      <c r="P163" t="s">
        <v>536</v>
      </c>
      <c r="Q163">
        <v>1000</v>
      </c>
      <c r="W163">
        <v>0</v>
      </c>
      <c r="X163">
        <v>-2108161735</v>
      </c>
      <c r="Y163">
        <v>0</v>
      </c>
      <c r="AA163">
        <v>35275.21</v>
      </c>
      <c r="AB163">
        <v>0</v>
      </c>
      <c r="AC163">
        <v>0</v>
      </c>
      <c r="AD163">
        <v>0</v>
      </c>
      <c r="AE163">
        <v>5989</v>
      </c>
      <c r="AF163">
        <v>0</v>
      </c>
      <c r="AG163">
        <v>0</v>
      </c>
      <c r="AH163">
        <v>0</v>
      </c>
      <c r="AI163">
        <v>5.89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1</v>
      </c>
      <c r="AQ163">
        <v>0</v>
      </c>
      <c r="AR163">
        <v>0</v>
      </c>
      <c r="AS163" t="s">
        <v>3</v>
      </c>
      <c r="AT163">
        <v>3.5999999999999999E-3</v>
      </c>
      <c r="AU163" t="s">
        <v>230</v>
      </c>
      <c r="AV163">
        <v>0</v>
      </c>
      <c r="AW163">
        <v>2</v>
      </c>
      <c r="AX163">
        <v>48371427</v>
      </c>
      <c r="AY163">
        <v>1</v>
      </c>
      <c r="AZ163">
        <v>0</v>
      </c>
      <c r="BA163">
        <v>164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Y163*Source!I90</f>
        <v>0</v>
      </c>
      <c r="CY163">
        <f t="shared" si="9"/>
        <v>35275.21</v>
      </c>
      <c r="CZ163">
        <f t="shared" si="10"/>
        <v>5989</v>
      </c>
      <c r="DA163">
        <f t="shared" si="11"/>
        <v>5.89</v>
      </c>
      <c r="DB163">
        <v>0</v>
      </c>
    </row>
    <row r="164" spans="1:106">
      <c r="A164">
        <f>ROW(Source!A90)</f>
        <v>90</v>
      </c>
      <c r="B164">
        <v>48370320</v>
      </c>
      <c r="C164">
        <v>48371419</v>
      </c>
      <c r="D164">
        <v>37730096</v>
      </c>
      <c r="E164">
        <v>1</v>
      </c>
      <c r="F164">
        <v>1</v>
      </c>
      <c r="G164">
        <v>1</v>
      </c>
      <c r="H164">
        <v>3</v>
      </c>
      <c r="I164" t="s">
        <v>732</v>
      </c>
      <c r="J164" t="s">
        <v>733</v>
      </c>
      <c r="K164" t="s">
        <v>734</v>
      </c>
      <c r="L164">
        <v>1346</v>
      </c>
      <c r="N164">
        <v>1009</v>
      </c>
      <c r="O164" t="s">
        <v>172</v>
      </c>
      <c r="P164" t="s">
        <v>172</v>
      </c>
      <c r="Q164">
        <v>1</v>
      </c>
      <c r="W164">
        <v>0</v>
      </c>
      <c r="X164">
        <v>-1079761038</v>
      </c>
      <c r="Y164">
        <v>0</v>
      </c>
      <c r="AA164">
        <v>83.16</v>
      </c>
      <c r="AB164">
        <v>0</v>
      </c>
      <c r="AC164">
        <v>0</v>
      </c>
      <c r="AD164">
        <v>0</v>
      </c>
      <c r="AE164">
        <v>37.29</v>
      </c>
      <c r="AF164">
        <v>0</v>
      </c>
      <c r="AG164">
        <v>0</v>
      </c>
      <c r="AH164">
        <v>0</v>
      </c>
      <c r="AI164">
        <v>2.23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1</v>
      </c>
      <c r="AQ164">
        <v>0</v>
      </c>
      <c r="AR164">
        <v>0</v>
      </c>
      <c r="AS164" t="s">
        <v>3</v>
      </c>
      <c r="AT164">
        <v>0.3</v>
      </c>
      <c r="AU164" t="s">
        <v>230</v>
      </c>
      <c r="AV164">
        <v>0</v>
      </c>
      <c r="AW164">
        <v>2</v>
      </c>
      <c r="AX164">
        <v>48371428</v>
      </c>
      <c r="AY164">
        <v>1</v>
      </c>
      <c r="AZ164">
        <v>0</v>
      </c>
      <c r="BA164">
        <v>165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Y164*Source!I90</f>
        <v>0</v>
      </c>
      <c r="CY164">
        <f t="shared" si="9"/>
        <v>83.16</v>
      </c>
      <c r="CZ164">
        <f t="shared" si="10"/>
        <v>37.29</v>
      </c>
      <c r="DA164">
        <f t="shared" si="11"/>
        <v>2.23</v>
      </c>
      <c r="DB164">
        <v>0</v>
      </c>
    </row>
    <row r="165" spans="1:106">
      <c r="A165">
        <f>ROW(Source!A90)</f>
        <v>90</v>
      </c>
      <c r="B165">
        <v>48370320</v>
      </c>
      <c r="C165">
        <v>48371419</v>
      </c>
      <c r="D165">
        <v>37730022</v>
      </c>
      <c r="E165">
        <v>1</v>
      </c>
      <c r="F165">
        <v>1</v>
      </c>
      <c r="G165">
        <v>1</v>
      </c>
      <c r="H165">
        <v>3</v>
      </c>
      <c r="I165" t="s">
        <v>735</v>
      </c>
      <c r="J165" t="s">
        <v>736</v>
      </c>
      <c r="K165" t="s">
        <v>737</v>
      </c>
      <c r="L165">
        <v>1346</v>
      </c>
      <c r="N165">
        <v>1009</v>
      </c>
      <c r="O165" t="s">
        <v>172</v>
      </c>
      <c r="P165" t="s">
        <v>172</v>
      </c>
      <c r="Q165">
        <v>1</v>
      </c>
      <c r="W165">
        <v>0</v>
      </c>
      <c r="X165">
        <v>303894738</v>
      </c>
      <c r="Y165">
        <v>0</v>
      </c>
      <c r="AA165">
        <v>42.09</v>
      </c>
      <c r="AB165">
        <v>0</v>
      </c>
      <c r="AC165">
        <v>0</v>
      </c>
      <c r="AD165">
        <v>0</v>
      </c>
      <c r="AE165">
        <v>9.61</v>
      </c>
      <c r="AF165">
        <v>0</v>
      </c>
      <c r="AG165">
        <v>0</v>
      </c>
      <c r="AH165">
        <v>0</v>
      </c>
      <c r="AI165">
        <v>4.38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1</v>
      </c>
      <c r="AQ165">
        <v>0</v>
      </c>
      <c r="AR165">
        <v>0</v>
      </c>
      <c r="AS165" t="s">
        <v>3</v>
      </c>
      <c r="AT165">
        <v>2</v>
      </c>
      <c r="AU165" t="s">
        <v>230</v>
      </c>
      <c r="AV165">
        <v>0</v>
      </c>
      <c r="AW165">
        <v>2</v>
      </c>
      <c r="AX165">
        <v>48371429</v>
      </c>
      <c r="AY165">
        <v>1</v>
      </c>
      <c r="AZ165">
        <v>0</v>
      </c>
      <c r="BA165">
        <v>166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Y165*Source!I90</f>
        <v>0</v>
      </c>
      <c r="CY165">
        <f t="shared" si="9"/>
        <v>42.09</v>
      </c>
      <c r="CZ165">
        <f t="shared" si="10"/>
        <v>9.61</v>
      </c>
      <c r="DA165">
        <f t="shared" si="11"/>
        <v>4.38</v>
      </c>
      <c r="DB165">
        <v>0</v>
      </c>
    </row>
    <row r="166" spans="1:106">
      <c r="A166">
        <f>ROW(Source!A90)</f>
        <v>90</v>
      </c>
      <c r="B166">
        <v>48370320</v>
      </c>
      <c r="C166">
        <v>48371419</v>
      </c>
      <c r="D166">
        <v>37737285</v>
      </c>
      <c r="E166">
        <v>1</v>
      </c>
      <c r="F166">
        <v>1</v>
      </c>
      <c r="G166">
        <v>1</v>
      </c>
      <c r="H166">
        <v>3</v>
      </c>
      <c r="I166" t="s">
        <v>738</v>
      </c>
      <c r="J166" t="s">
        <v>739</v>
      </c>
      <c r="K166" t="s">
        <v>740</v>
      </c>
      <c r="L166">
        <v>1348</v>
      </c>
      <c r="N166">
        <v>1009</v>
      </c>
      <c r="O166" t="s">
        <v>536</v>
      </c>
      <c r="P166" t="s">
        <v>536</v>
      </c>
      <c r="Q166">
        <v>1000</v>
      </c>
      <c r="W166">
        <v>0</v>
      </c>
      <c r="X166">
        <v>150781661</v>
      </c>
      <c r="Y166">
        <v>0</v>
      </c>
      <c r="AA166">
        <v>56977</v>
      </c>
      <c r="AB166">
        <v>0</v>
      </c>
      <c r="AC166">
        <v>0</v>
      </c>
      <c r="AD166">
        <v>0</v>
      </c>
      <c r="AE166">
        <v>11350</v>
      </c>
      <c r="AF166">
        <v>0</v>
      </c>
      <c r="AG166">
        <v>0</v>
      </c>
      <c r="AH166">
        <v>0</v>
      </c>
      <c r="AI166">
        <v>5.0199999999999996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S166" t="s">
        <v>3</v>
      </c>
      <c r="AT166">
        <v>6.9999999999999999E-4</v>
      </c>
      <c r="AU166" t="s">
        <v>230</v>
      </c>
      <c r="AV166">
        <v>0</v>
      </c>
      <c r="AW166">
        <v>2</v>
      </c>
      <c r="AX166">
        <v>48371430</v>
      </c>
      <c r="AY166">
        <v>1</v>
      </c>
      <c r="AZ166">
        <v>0</v>
      </c>
      <c r="BA166">
        <v>167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Y166*Source!I90</f>
        <v>0</v>
      </c>
      <c r="CY166">
        <f t="shared" si="9"/>
        <v>56977</v>
      </c>
      <c r="CZ166">
        <f t="shared" si="10"/>
        <v>11350</v>
      </c>
      <c r="DA166">
        <f t="shared" si="11"/>
        <v>5.0199999999999996</v>
      </c>
      <c r="DB166">
        <v>0</v>
      </c>
    </row>
    <row r="167" spans="1:106">
      <c r="A167">
        <f>ROW(Source!A90)</f>
        <v>90</v>
      </c>
      <c r="B167">
        <v>48370320</v>
      </c>
      <c r="C167">
        <v>48371419</v>
      </c>
      <c r="D167">
        <v>37737065</v>
      </c>
      <c r="E167">
        <v>1</v>
      </c>
      <c r="F167">
        <v>1</v>
      </c>
      <c r="G167">
        <v>1</v>
      </c>
      <c r="H167">
        <v>3</v>
      </c>
      <c r="I167" t="s">
        <v>741</v>
      </c>
      <c r="J167" t="s">
        <v>742</v>
      </c>
      <c r="K167" t="s">
        <v>743</v>
      </c>
      <c r="L167">
        <v>1358</v>
      </c>
      <c r="N167">
        <v>1010</v>
      </c>
      <c r="O167" t="s">
        <v>278</v>
      </c>
      <c r="P167" t="s">
        <v>278</v>
      </c>
      <c r="Q167">
        <v>10</v>
      </c>
      <c r="W167">
        <v>0</v>
      </c>
      <c r="X167">
        <v>1797813106</v>
      </c>
      <c r="Y167">
        <v>0</v>
      </c>
      <c r="AA167">
        <v>3.8</v>
      </c>
      <c r="AB167">
        <v>0</v>
      </c>
      <c r="AC167">
        <v>0</v>
      </c>
      <c r="AD167">
        <v>0</v>
      </c>
      <c r="AE167">
        <v>2</v>
      </c>
      <c r="AF167">
        <v>0</v>
      </c>
      <c r="AG167">
        <v>0</v>
      </c>
      <c r="AH167">
        <v>0</v>
      </c>
      <c r="AI167">
        <v>1.9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1</v>
      </c>
      <c r="AQ167">
        <v>0</v>
      </c>
      <c r="AR167">
        <v>0</v>
      </c>
      <c r="AS167" t="s">
        <v>3</v>
      </c>
      <c r="AT167">
        <v>4</v>
      </c>
      <c r="AU167" t="s">
        <v>230</v>
      </c>
      <c r="AV167">
        <v>0</v>
      </c>
      <c r="AW167">
        <v>2</v>
      </c>
      <c r="AX167">
        <v>48371431</v>
      </c>
      <c r="AY167">
        <v>1</v>
      </c>
      <c r="AZ167">
        <v>0</v>
      </c>
      <c r="BA167">
        <v>168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Y167*Source!I90</f>
        <v>0</v>
      </c>
      <c r="CY167">
        <f t="shared" si="9"/>
        <v>3.8</v>
      </c>
      <c r="CZ167">
        <f t="shared" si="10"/>
        <v>2</v>
      </c>
      <c r="DA167">
        <f t="shared" si="11"/>
        <v>1.9</v>
      </c>
      <c r="DB167">
        <v>0</v>
      </c>
    </row>
    <row r="168" spans="1:106">
      <c r="A168">
        <f>ROW(Source!A90)</f>
        <v>90</v>
      </c>
      <c r="B168">
        <v>48370320</v>
      </c>
      <c r="C168">
        <v>48371419</v>
      </c>
      <c r="D168">
        <v>37764714</v>
      </c>
      <c r="E168">
        <v>1</v>
      </c>
      <c r="F168">
        <v>1</v>
      </c>
      <c r="G168">
        <v>1</v>
      </c>
      <c r="H168">
        <v>3</v>
      </c>
      <c r="I168" t="s">
        <v>744</v>
      </c>
      <c r="J168" t="s">
        <v>745</v>
      </c>
      <c r="K168" t="s">
        <v>746</v>
      </c>
      <c r="L168">
        <v>1035</v>
      </c>
      <c r="N168">
        <v>1013</v>
      </c>
      <c r="O168" t="s">
        <v>255</v>
      </c>
      <c r="P168" t="s">
        <v>255</v>
      </c>
      <c r="Q168">
        <v>1</v>
      </c>
      <c r="W168">
        <v>0</v>
      </c>
      <c r="X168">
        <v>603596775</v>
      </c>
      <c r="Y168">
        <v>0</v>
      </c>
      <c r="AA168">
        <v>1257.43</v>
      </c>
      <c r="AB168">
        <v>0</v>
      </c>
      <c r="AC168">
        <v>0</v>
      </c>
      <c r="AD168">
        <v>0</v>
      </c>
      <c r="AE168">
        <v>237.7</v>
      </c>
      <c r="AF168">
        <v>0</v>
      </c>
      <c r="AG168">
        <v>0</v>
      </c>
      <c r="AH168">
        <v>0</v>
      </c>
      <c r="AI168">
        <v>5.29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1</v>
      </c>
      <c r="AQ168">
        <v>0</v>
      </c>
      <c r="AR168">
        <v>0</v>
      </c>
      <c r="AS168" t="s">
        <v>3</v>
      </c>
      <c r="AT168">
        <v>10</v>
      </c>
      <c r="AU168" t="s">
        <v>230</v>
      </c>
      <c r="AV168">
        <v>0</v>
      </c>
      <c r="AW168">
        <v>2</v>
      </c>
      <c r="AX168">
        <v>48371432</v>
      </c>
      <c r="AY168">
        <v>1</v>
      </c>
      <c r="AZ168">
        <v>0</v>
      </c>
      <c r="BA168">
        <v>169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Y168*Source!I90</f>
        <v>0</v>
      </c>
      <c r="CY168">
        <f t="shared" si="9"/>
        <v>1257.43</v>
      </c>
      <c r="CZ168">
        <f t="shared" si="10"/>
        <v>237.7</v>
      </c>
      <c r="DA168">
        <f t="shared" si="11"/>
        <v>5.29</v>
      </c>
      <c r="DB168">
        <v>0</v>
      </c>
    </row>
    <row r="169" spans="1:106">
      <c r="A169">
        <f>ROW(Source!A91)</f>
        <v>91</v>
      </c>
      <c r="B169">
        <v>48370320</v>
      </c>
      <c r="C169">
        <v>48371462</v>
      </c>
      <c r="D169">
        <v>23134664</v>
      </c>
      <c r="E169">
        <v>1</v>
      </c>
      <c r="F169">
        <v>1</v>
      </c>
      <c r="G169">
        <v>1</v>
      </c>
      <c r="H169">
        <v>1</v>
      </c>
      <c r="I169" t="s">
        <v>567</v>
      </c>
      <c r="J169" t="s">
        <v>3</v>
      </c>
      <c r="K169" t="s">
        <v>568</v>
      </c>
      <c r="L169">
        <v>1369</v>
      </c>
      <c r="N169">
        <v>1013</v>
      </c>
      <c r="O169" t="s">
        <v>510</v>
      </c>
      <c r="P169" t="s">
        <v>510</v>
      </c>
      <c r="Q169">
        <v>1</v>
      </c>
      <c r="W169">
        <v>0</v>
      </c>
      <c r="X169">
        <v>-1578608621</v>
      </c>
      <c r="Y169">
        <v>28.335999999999999</v>
      </c>
      <c r="AA169">
        <v>0</v>
      </c>
      <c r="AB169">
        <v>0</v>
      </c>
      <c r="AC169">
        <v>0</v>
      </c>
      <c r="AD169">
        <v>8.89</v>
      </c>
      <c r="AE169">
        <v>0</v>
      </c>
      <c r="AF169">
        <v>0</v>
      </c>
      <c r="AG169">
        <v>0</v>
      </c>
      <c r="AH169">
        <v>8.89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1</v>
      </c>
      <c r="AQ169">
        <v>0</v>
      </c>
      <c r="AR169">
        <v>0</v>
      </c>
      <c r="AS169" t="s">
        <v>3</v>
      </c>
      <c r="AT169">
        <v>24.64</v>
      </c>
      <c r="AU169" t="s">
        <v>161</v>
      </c>
      <c r="AV169">
        <v>1</v>
      </c>
      <c r="AW169">
        <v>2</v>
      </c>
      <c r="AX169">
        <v>48371463</v>
      </c>
      <c r="AY169">
        <v>1</v>
      </c>
      <c r="AZ169">
        <v>0</v>
      </c>
      <c r="BA169">
        <v>170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Y169*Source!I91</f>
        <v>2.8336000000000001</v>
      </c>
      <c r="CY169">
        <f>AD169</f>
        <v>8.89</v>
      </c>
      <c r="CZ169">
        <f>AH169</f>
        <v>8.89</v>
      </c>
      <c r="DA169">
        <f>AL169</f>
        <v>1</v>
      </c>
      <c r="DB169">
        <v>0</v>
      </c>
    </row>
    <row r="170" spans="1:106">
      <c r="A170">
        <f>ROW(Source!A91)</f>
        <v>91</v>
      </c>
      <c r="B170">
        <v>48370320</v>
      </c>
      <c r="C170">
        <v>48371462</v>
      </c>
      <c r="D170">
        <v>121548</v>
      </c>
      <c r="E170">
        <v>1</v>
      </c>
      <c r="F170">
        <v>1</v>
      </c>
      <c r="G170">
        <v>1</v>
      </c>
      <c r="H170">
        <v>1</v>
      </c>
      <c r="I170" t="s">
        <v>24</v>
      </c>
      <c r="J170" t="s">
        <v>3</v>
      </c>
      <c r="K170" t="s">
        <v>511</v>
      </c>
      <c r="L170">
        <v>608254</v>
      </c>
      <c r="N170">
        <v>1013</v>
      </c>
      <c r="O170" t="s">
        <v>512</v>
      </c>
      <c r="P170" t="s">
        <v>512</v>
      </c>
      <c r="Q170">
        <v>1</v>
      </c>
      <c r="W170">
        <v>0</v>
      </c>
      <c r="X170">
        <v>-185737400</v>
      </c>
      <c r="Y170">
        <v>0.4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1</v>
      </c>
      <c r="AQ170">
        <v>0</v>
      </c>
      <c r="AR170">
        <v>0</v>
      </c>
      <c r="AS170" t="s">
        <v>3</v>
      </c>
      <c r="AT170">
        <v>0.32</v>
      </c>
      <c r="AU170" t="s">
        <v>160</v>
      </c>
      <c r="AV170">
        <v>2</v>
      </c>
      <c r="AW170">
        <v>2</v>
      </c>
      <c r="AX170">
        <v>48371464</v>
      </c>
      <c r="AY170">
        <v>1</v>
      </c>
      <c r="AZ170">
        <v>0</v>
      </c>
      <c r="BA170">
        <v>171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Y170*Source!I91</f>
        <v>4.0000000000000008E-2</v>
      </c>
      <c r="CY170">
        <f>AD170</f>
        <v>0</v>
      </c>
      <c r="CZ170">
        <f>AH170</f>
        <v>0</v>
      </c>
      <c r="DA170">
        <f>AL170</f>
        <v>1</v>
      </c>
      <c r="DB170">
        <v>0</v>
      </c>
    </row>
    <row r="171" spans="1:106">
      <c r="A171">
        <f>ROW(Source!A91)</f>
        <v>91</v>
      </c>
      <c r="B171">
        <v>48370320</v>
      </c>
      <c r="C171">
        <v>48371462</v>
      </c>
      <c r="D171">
        <v>37802578</v>
      </c>
      <c r="E171">
        <v>1</v>
      </c>
      <c r="F171">
        <v>1</v>
      </c>
      <c r="G171">
        <v>1</v>
      </c>
      <c r="H171">
        <v>2</v>
      </c>
      <c r="I171" t="s">
        <v>550</v>
      </c>
      <c r="J171" t="s">
        <v>551</v>
      </c>
      <c r="K171" t="s">
        <v>552</v>
      </c>
      <c r="L171">
        <v>1368</v>
      </c>
      <c r="N171">
        <v>1011</v>
      </c>
      <c r="O171" t="s">
        <v>516</v>
      </c>
      <c r="P171" t="s">
        <v>516</v>
      </c>
      <c r="Q171">
        <v>1</v>
      </c>
      <c r="W171">
        <v>0</v>
      </c>
      <c r="X171">
        <v>1753337916</v>
      </c>
      <c r="Y171">
        <v>0.4</v>
      </c>
      <c r="AA171">
        <v>0</v>
      </c>
      <c r="AB171">
        <v>327.64</v>
      </c>
      <c r="AC171">
        <v>252.65</v>
      </c>
      <c r="AD171">
        <v>0</v>
      </c>
      <c r="AE171">
        <v>0</v>
      </c>
      <c r="AF171">
        <v>32.090000000000003</v>
      </c>
      <c r="AG171">
        <v>12.1</v>
      </c>
      <c r="AH171">
        <v>0</v>
      </c>
      <c r="AI171">
        <v>1</v>
      </c>
      <c r="AJ171">
        <v>10.210000000000001</v>
      </c>
      <c r="AK171">
        <v>20.88</v>
      </c>
      <c r="AL171">
        <v>1</v>
      </c>
      <c r="AN171">
        <v>0</v>
      </c>
      <c r="AO171">
        <v>1</v>
      </c>
      <c r="AP171">
        <v>1</v>
      </c>
      <c r="AQ171">
        <v>0</v>
      </c>
      <c r="AR171">
        <v>0</v>
      </c>
      <c r="AS171" t="s">
        <v>3</v>
      </c>
      <c r="AT171">
        <v>0.32</v>
      </c>
      <c r="AU171" t="s">
        <v>160</v>
      </c>
      <c r="AV171">
        <v>0</v>
      </c>
      <c r="AW171">
        <v>2</v>
      </c>
      <c r="AX171">
        <v>48371465</v>
      </c>
      <c r="AY171">
        <v>1</v>
      </c>
      <c r="AZ171">
        <v>0</v>
      </c>
      <c r="BA171">
        <v>172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Y171*Source!I91</f>
        <v>4.0000000000000008E-2</v>
      </c>
      <c r="CY171">
        <f>AB171</f>
        <v>327.64</v>
      </c>
      <c r="CZ171">
        <f>AF171</f>
        <v>32.090000000000003</v>
      </c>
      <c r="DA171">
        <f>AJ171</f>
        <v>10.210000000000001</v>
      </c>
      <c r="DB171">
        <v>0</v>
      </c>
    </row>
    <row r="172" spans="1:106">
      <c r="A172">
        <f>ROW(Source!A91)</f>
        <v>91</v>
      </c>
      <c r="B172">
        <v>48370320</v>
      </c>
      <c r="C172">
        <v>48371462</v>
      </c>
      <c r="D172">
        <v>37804065</v>
      </c>
      <c r="E172">
        <v>1</v>
      </c>
      <c r="F172">
        <v>1</v>
      </c>
      <c r="G172">
        <v>1</v>
      </c>
      <c r="H172">
        <v>2</v>
      </c>
      <c r="I172" t="s">
        <v>690</v>
      </c>
      <c r="J172" t="s">
        <v>691</v>
      </c>
      <c r="K172" t="s">
        <v>692</v>
      </c>
      <c r="L172">
        <v>1368</v>
      </c>
      <c r="N172">
        <v>1011</v>
      </c>
      <c r="O172" t="s">
        <v>516</v>
      </c>
      <c r="P172" t="s">
        <v>516</v>
      </c>
      <c r="Q172">
        <v>1</v>
      </c>
      <c r="W172">
        <v>0</v>
      </c>
      <c r="X172">
        <v>835824343</v>
      </c>
      <c r="Y172">
        <v>0.25</v>
      </c>
      <c r="AA172">
        <v>0</v>
      </c>
      <c r="AB172">
        <v>9.74</v>
      </c>
      <c r="AC172">
        <v>0</v>
      </c>
      <c r="AD172">
        <v>0</v>
      </c>
      <c r="AE172">
        <v>0</v>
      </c>
      <c r="AF172">
        <v>2.15</v>
      </c>
      <c r="AG172">
        <v>0</v>
      </c>
      <c r="AH172">
        <v>0</v>
      </c>
      <c r="AI172">
        <v>1</v>
      </c>
      <c r="AJ172">
        <v>4.53</v>
      </c>
      <c r="AK172">
        <v>20.88</v>
      </c>
      <c r="AL172">
        <v>1</v>
      </c>
      <c r="AN172">
        <v>0</v>
      </c>
      <c r="AO172">
        <v>1</v>
      </c>
      <c r="AP172">
        <v>1</v>
      </c>
      <c r="AQ172">
        <v>0</v>
      </c>
      <c r="AR172">
        <v>0</v>
      </c>
      <c r="AS172" t="s">
        <v>3</v>
      </c>
      <c r="AT172">
        <v>0.2</v>
      </c>
      <c r="AU172" t="s">
        <v>160</v>
      </c>
      <c r="AV172">
        <v>0</v>
      </c>
      <c r="AW172">
        <v>2</v>
      </c>
      <c r="AX172">
        <v>48371466</v>
      </c>
      <c r="AY172">
        <v>1</v>
      </c>
      <c r="AZ172">
        <v>0</v>
      </c>
      <c r="BA172">
        <v>173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Y172*Source!I91</f>
        <v>2.5000000000000001E-2</v>
      </c>
      <c r="CY172">
        <f>AB172</f>
        <v>9.74</v>
      </c>
      <c r="CZ172">
        <f>AF172</f>
        <v>2.15</v>
      </c>
      <c r="DA172">
        <f>AJ172</f>
        <v>4.53</v>
      </c>
      <c r="DB172">
        <v>0</v>
      </c>
    </row>
    <row r="173" spans="1:106">
      <c r="A173">
        <f>ROW(Source!A91)</f>
        <v>91</v>
      </c>
      <c r="B173">
        <v>48370320</v>
      </c>
      <c r="C173">
        <v>48371462</v>
      </c>
      <c r="D173">
        <v>37804456</v>
      </c>
      <c r="E173">
        <v>1</v>
      </c>
      <c r="F173">
        <v>1</v>
      </c>
      <c r="G173">
        <v>1</v>
      </c>
      <c r="H173">
        <v>2</v>
      </c>
      <c r="I173" t="s">
        <v>530</v>
      </c>
      <c r="J173" t="s">
        <v>531</v>
      </c>
      <c r="K173" t="s">
        <v>532</v>
      </c>
      <c r="L173">
        <v>1368</v>
      </c>
      <c r="N173">
        <v>1011</v>
      </c>
      <c r="O173" t="s">
        <v>516</v>
      </c>
      <c r="P173" t="s">
        <v>516</v>
      </c>
      <c r="Q173">
        <v>1</v>
      </c>
      <c r="W173">
        <v>0</v>
      </c>
      <c r="X173">
        <v>-671646184</v>
      </c>
      <c r="Y173">
        <v>0.48750000000000004</v>
      </c>
      <c r="AA173">
        <v>0</v>
      </c>
      <c r="AB173">
        <v>844.19</v>
      </c>
      <c r="AC173">
        <v>216.11</v>
      </c>
      <c r="AD173">
        <v>0</v>
      </c>
      <c r="AE173">
        <v>0</v>
      </c>
      <c r="AF173">
        <v>91.76</v>
      </c>
      <c r="AG173">
        <v>10.35</v>
      </c>
      <c r="AH173">
        <v>0</v>
      </c>
      <c r="AI173">
        <v>1</v>
      </c>
      <c r="AJ173">
        <v>9.1999999999999993</v>
      </c>
      <c r="AK173">
        <v>20.88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S173" t="s">
        <v>3</v>
      </c>
      <c r="AT173">
        <v>0.39</v>
      </c>
      <c r="AU173" t="s">
        <v>160</v>
      </c>
      <c r="AV173">
        <v>0</v>
      </c>
      <c r="AW173">
        <v>2</v>
      </c>
      <c r="AX173">
        <v>48371467</v>
      </c>
      <c r="AY173">
        <v>1</v>
      </c>
      <c r="AZ173">
        <v>0</v>
      </c>
      <c r="BA173">
        <v>174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Y173*Source!I91</f>
        <v>4.8750000000000009E-2</v>
      </c>
      <c r="CY173">
        <f>AB173</f>
        <v>844.19</v>
      </c>
      <c r="CZ173">
        <f>AF173</f>
        <v>91.76</v>
      </c>
      <c r="DA173">
        <f>AJ173</f>
        <v>9.1999999999999993</v>
      </c>
      <c r="DB173">
        <v>0</v>
      </c>
    </row>
    <row r="174" spans="1:106">
      <c r="A174">
        <f>ROW(Source!A91)</f>
        <v>91</v>
      </c>
      <c r="B174">
        <v>48370320</v>
      </c>
      <c r="C174">
        <v>48371462</v>
      </c>
      <c r="D174">
        <v>37730045</v>
      </c>
      <c r="E174">
        <v>1</v>
      </c>
      <c r="F174">
        <v>1</v>
      </c>
      <c r="G174">
        <v>1</v>
      </c>
      <c r="H174">
        <v>3</v>
      </c>
      <c r="I174" t="s">
        <v>747</v>
      </c>
      <c r="J174" t="s">
        <v>748</v>
      </c>
      <c r="K174" t="s">
        <v>749</v>
      </c>
      <c r="L174">
        <v>1348</v>
      </c>
      <c r="N174">
        <v>1009</v>
      </c>
      <c r="O174" t="s">
        <v>536</v>
      </c>
      <c r="P174" t="s">
        <v>536</v>
      </c>
      <c r="Q174">
        <v>1000</v>
      </c>
      <c r="W174">
        <v>0</v>
      </c>
      <c r="X174">
        <v>-1390828491</v>
      </c>
      <c r="Y174">
        <v>0</v>
      </c>
      <c r="AA174">
        <v>102402.3</v>
      </c>
      <c r="AB174">
        <v>0</v>
      </c>
      <c r="AC174">
        <v>0</v>
      </c>
      <c r="AD174">
        <v>0</v>
      </c>
      <c r="AE174">
        <v>30030</v>
      </c>
      <c r="AF174">
        <v>0</v>
      </c>
      <c r="AG174">
        <v>0</v>
      </c>
      <c r="AH174">
        <v>0</v>
      </c>
      <c r="AI174">
        <v>3.41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1</v>
      </c>
      <c r="AQ174">
        <v>0</v>
      </c>
      <c r="AR174">
        <v>0</v>
      </c>
      <c r="AS174" t="s">
        <v>3</v>
      </c>
      <c r="AT174">
        <v>1E-3</v>
      </c>
      <c r="AU174" t="s">
        <v>230</v>
      </c>
      <c r="AV174">
        <v>0</v>
      </c>
      <c r="AW174">
        <v>2</v>
      </c>
      <c r="AX174">
        <v>48371468</v>
      </c>
      <c r="AY174">
        <v>1</v>
      </c>
      <c r="AZ174">
        <v>0</v>
      </c>
      <c r="BA174">
        <v>175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Y174*Source!I91</f>
        <v>0</v>
      </c>
      <c r="CY174">
        <f t="shared" ref="CY174:CY184" si="12">AA174</f>
        <v>102402.3</v>
      </c>
      <c r="CZ174">
        <f t="shared" ref="CZ174:CZ184" si="13">AE174</f>
        <v>30030</v>
      </c>
      <c r="DA174">
        <f t="shared" ref="DA174:DA184" si="14">AI174</f>
        <v>3.41</v>
      </c>
      <c r="DB174">
        <v>0</v>
      </c>
    </row>
    <row r="175" spans="1:106">
      <c r="A175">
        <f>ROW(Source!A91)</f>
        <v>91</v>
      </c>
      <c r="B175">
        <v>48370320</v>
      </c>
      <c r="C175">
        <v>48371462</v>
      </c>
      <c r="D175">
        <v>37732516</v>
      </c>
      <c r="E175">
        <v>1</v>
      </c>
      <c r="F175">
        <v>1</v>
      </c>
      <c r="G175">
        <v>1</v>
      </c>
      <c r="H175">
        <v>3</v>
      </c>
      <c r="I175" t="s">
        <v>723</v>
      </c>
      <c r="J175" t="s">
        <v>724</v>
      </c>
      <c r="K175" t="s">
        <v>725</v>
      </c>
      <c r="L175">
        <v>1348</v>
      </c>
      <c r="N175">
        <v>1009</v>
      </c>
      <c r="O175" t="s">
        <v>536</v>
      </c>
      <c r="P175" t="s">
        <v>536</v>
      </c>
      <c r="Q175">
        <v>1000</v>
      </c>
      <c r="W175">
        <v>0</v>
      </c>
      <c r="X175">
        <v>593844519</v>
      </c>
      <c r="Y175">
        <v>0</v>
      </c>
      <c r="AA175">
        <v>52611.02</v>
      </c>
      <c r="AB175">
        <v>0</v>
      </c>
      <c r="AC175">
        <v>0</v>
      </c>
      <c r="AD175">
        <v>0</v>
      </c>
      <c r="AE175">
        <v>20713</v>
      </c>
      <c r="AF175">
        <v>0</v>
      </c>
      <c r="AG175">
        <v>0</v>
      </c>
      <c r="AH175">
        <v>0</v>
      </c>
      <c r="AI175">
        <v>2.54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3</v>
      </c>
      <c r="AT175">
        <v>4.0000000000000002E-4</v>
      </c>
      <c r="AU175" t="s">
        <v>230</v>
      </c>
      <c r="AV175">
        <v>0</v>
      </c>
      <c r="AW175">
        <v>2</v>
      </c>
      <c r="AX175">
        <v>48371469</v>
      </c>
      <c r="AY175">
        <v>1</v>
      </c>
      <c r="AZ175">
        <v>0</v>
      </c>
      <c r="BA175">
        <v>176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Y175*Source!I91</f>
        <v>0</v>
      </c>
      <c r="CY175">
        <f t="shared" si="12"/>
        <v>52611.02</v>
      </c>
      <c r="CZ175">
        <f t="shared" si="13"/>
        <v>20713</v>
      </c>
      <c r="DA175">
        <f t="shared" si="14"/>
        <v>2.54</v>
      </c>
      <c r="DB175">
        <v>0</v>
      </c>
    </row>
    <row r="176" spans="1:106">
      <c r="A176">
        <f>ROW(Source!A91)</f>
        <v>91</v>
      </c>
      <c r="B176">
        <v>48370320</v>
      </c>
      <c r="C176">
        <v>48371462</v>
      </c>
      <c r="D176">
        <v>37732761</v>
      </c>
      <c r="E176">
        <v>1</v>
      </c>
      <c r="F176">
        <v>1</v>
      </c>
      <c r="G176">
        <v>1</v>
      </c>
      <c r="H176">
        <v>3</v>
      </c>
      <c r="I176" t="s">
        <v>726</v>
      </c>
      <c r="J176" t="s">
        <v>727</v>
      </c>
      <c r="K176" t="s">
        <v>728</v>
      </c>
      <c r="L176">
        <v>1348</v>
      </c>
      <c r="N176">
        <v>1009</v>
      </c>
      <c r="O176" t="s">
        <v>536</v>
      </c>
      <c r="P176" t="s">
        <v>536</v>
      </c>
      <c r="Q176">
        <v>1000</v>
      </c>
      <c r="W176">
        <v>0</v>
      </c>
      <c r="X176">
        <v>-1171140754</v>
      </c>
      <c r="Y176">
        <v>0</v>
      </c>
      <c r="AA176">
        <v>64680.37</v>
      </c>
      <c r="AB176">
        <v>0</v>
      </c>
      <c r="AC176">
        <v>0</v>
      </c>
      <c r="AD176">
        <v>0</v>
      </c>
      <c r="AE176">
        <v>17917</v>
      </c>
      <c r="AF176">
        <v>0</v>
      </c>
      <c r="AG176">
        <v>0</v>
      </c>
      <c r="AH176">
        <v>0</v>
      </c>
      <c r="AI176">
        <v>3.61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1</v>
      </c>
      <c r="AQ176">
        <v>0</v>
      </c>
      <c r="AR176">
        <v>0</v>
      </c>
      <c r="AS176" t="s">
        <v>3</v>
      </c>
      <c r="AT176">
        <v>2.0000000000000001E-4</v>
      </c>
      <c r="AU176" t="s">
        <v>230</v>
      </c>
      <c r="AV176">
        <v>0</v>
      </c>
      <c r="AW176">
        <v>2</v>
      </c>
      <c r="AX176">
        <v>48371470</v>
      </c>
      <c r="AY176">
        <v>1</v>
      </c>
      <c r="AZ176">
        <v>0</v>
      </c>
      <c r="BA176">
        <v>177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Y176*Source!I91</f>
        <v>0</v>
      </c>
      <c r="CY176">
        <f t="shared" si="12"/>
        <v>64680.37</v>
      </c>
      <c r="CZ176">
        <f t="shared" si="13"/>
        <v>17917</v>
      </c>
      <c r="DA176">
        <f t="shared" si="14"/>
        <v>3.61</v>
      </c>
      <c r="DB176">
        <v>0</v>
      </c>
    </row>
    <row r="177" spans="1:106">
      <c r="A177">
        <f>ROW(Source!A91)</f>
        <v>91</v>
      </c>
      <c r="B177">
        <v>48370320</v>
      </c>
      <c r="C177">
        <v>48371462</v>
      </c>
      <c r="D177">
        <v>37732214</v>
      </c>
      <c r="E177">
        <v>1</v>
      </c>
      <c r="F177">
        <v>1</v>
      </c>
      <c r="G177">
        <v>1</v>
      </c>
      <c r="H177">
        <v>3</v>
      </c>
      <c r="I177" t="s">
        <v>750</v>
      </c>
      <c r="J177" t="s">
        <v>751</v>
      </c>
      <c r="K177" t="s">
        <v>752</v>
      </c>
      <c r="L177">
        <v>1346</v>
      </c>
      <c r="N177">
        <v>1009</v>
      </c>
      <c r="O177" t="s">
        <v>172</v>
      </c>
      <c r="P177" t="s">
        <v>172</v>
      </c>
      <c r="Q177">
        <v>1</v>
      </c>
      <c r="W177">
        <v>0</v>
      </c>
      <c r="X177">
        <v>198669142</v>
      </c>
      <c r="Y177">
        <v>0</v>
      </c>
      <c r="AA177">
        <v>71.33</v>
      </c>
      <c r="AB177">
        <v>0</v>
      </c>
      <c r="AC177">
        <v>0</v>
      </c>
      <c r="AD177">
        <v>0</v>
      </c>
      <c r="AE177">
        <v>13.56</v>
      </c>
      <c r="AF177">
        <v>0</v>
      </c>
      <c r="AG177">
        <v>0</v>
      </c>
      <c r="AH177">
        <v>0</v>
      </c>
      <c r="AI177">
        <v>5.26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1</v>
      </c>
      <c r="AQ177">
        <v>0</v>
      </c>
      <c r="AR177">
        <v>0</v>
      </c>
      <c r="AS177" t="s">
        <v>3</v>
      </c>
      <c r="AT177">
        <v>0.8</v>
      </c>
      <c r="AU177" t="s">
        <v>230</v>
      </c>
      <c r="AV177">
        <v>0</v>
      </c>
      <c r="AW177">
        <v>2</v>
      </c>
      <c r="AX177">
        <v>48371471</v>
      </c>
      <c r="AY177">
        <v>1</v>
      </c>
      <c r="AZ177">
        <v>0</v>
      </c>
      <c r="BA177">
        <v>178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Y177*Source!I91</f>
        <v>0</v>
      </c>
      <c r="CY177">
        <f t="shared" si="12"/>
        <v>71.33</v>
      </c>
      <c r="CZ177">
        <f t="shared" si="13"/>
        <v>13.56</v>
      </c>
      <c r="DA177">
        <f t="shared" si="14"/>
        <v>5.26</v>
      </c>
      <c r="DB177">
        <v>0</v>
      </c>
    </row>
    <row r="178" spans="1:106">
      <c r="A178">
        <f>ROW(Source!A91)</f>
        <v>91</v>
      </c>
      <c r="B178">
        <v>48370320</v>
      </c>
      <c r="C178">
        <v>48371462</v>
      </c>
      <c r="D178">
        <v>37730096</v>
      </c>
      <c r="E178">
        <v>1</v>
      </c>
      <c r="F178">
        <v>1</v>
      </c>
      <c r="G178">
        <v>1</v>
      </c>
      <c r="H178">
        <v>3</v>
      </c>
      <c r="I178" t="s">
        <v>732</v>
      </c>
      <c r="J178" t="s">
        <v>733</v>
      </c>
      <c r="K178" t="s">
        <v>734</v>
      </c>
      <c r="L178">
        <v>1346</v>
      </c>
      <c r="N178">
        <v>1009</v>
      </c>
      <c r="O178" t="s">
        <v>172</v>
      </c>
      <c r="P178" t="s">
        <v>172</v>
      </c>
      <c r="Q178">
        <v>1</v>
      </c>
      <c r="W178">
        <v>0</v>
      </c>
      <c r="X178">
        <v>-1079761038</v>
      </c>
      <c r="Y178">
        <v>0</v>
      </c>
      <c r="AA178">
        <v>83.16</v>
      </c>
      <c r="AB178">
        <v>0</v>
      </c>
      <c r="AC178">
        <v>0</v>
      </c>
      <c r="AD178">
        <v>0</v>
      </c>
      <c r="AE178">
        <v>37.29</v>
      </c>
      <c r="AF178">
        <v>0</v>
      </c>
      <c r="AG178">
        <v>0</v>
      </c>
      <c r="AH178">
        <v>0</v>
      </c>
      <c r="AI178">
        <v>2.23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1</v>
      </c>
      <c r="AQ178">
        <v>0</v>
      </c>
      <c r="AR178">
        <v>0</v>
      </c>
      <c r="AS178" t="s">
        <v>3</v>
      </c>
      <c r="AT178">
        <v>0.04</v>
      </c>
      <c r="AU178" t="s">
        <v>230</v>
      </c>
      <c r="AV178">
        <v>0</v>
      </c>
      <c r="AW178">
        <v>2</v>
      </c>
      <c r="AX178">
        <v>48371472</v>
      </c>
      <c r="AY178">
        <v>1</v>
      </c>
      <c r="AZ178">
        <v>0</v>
      </c>
      <c r="BA178">
        <v>179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Y178*Source!I91</f>
        <v>0</v>
      </c>
      <c r="CY178">
        <f t="shared" si="12"/>
        <v>83.16</v>
      </c>
      <c r="CZ178">
        <f t="shared" si="13"/>
        <v>37.29</v>
      </c>
      <c r="DA178">
        <f t="shared" si="14"/>
        <v>2.23</v>
      </c>
      <c r="DB178">
        <v>0</v>
      </c>
    </row>
    <row r="179" spans="1:106">
      <c r="A179">
        <f>ROW(Source!A91)</f>
        <v>91</v>
      </c>
      <c r="B179">
        <v>48370320</v>
      </c>
      <c r="C179">
        <v>48371462</v>
      </c>
      <c r="D179">
        <v>37730022</v>
      </c>
      <c r="E179">
        <v>1</v>
      </c>
      <c r="F179">
        <v>1</v>
      </c>
      <c r="G179">
        <v>1</v>
      </c>
      <c r="H179">
        <v>3</v>
      </c>
      <c r="I179" t="s">
        <v>735</v>
      </c>
      <c r="J179" t="s">
        <v>736</v>
      </c>
      <c r="K179" t="s">
        <v>737</v>
      </c>
      <c r="L179">
        <v>1346</v>
      </c>
      <c r="N179">
        <v>1009</v>
      </c>
      <c r="O179" t="s">
        <v>172</v>
      </c>
      <c r="P179" t="s">
        <v>172</v>
      </c>
      <c r="Q179">
        <v>1</v>
      </c>
      <c r="W179">
        <v>0</v>
      </c>
      <c r="X179">
        <v>303894738</v>
      </c>
      <c r="Y179">
        <v>0</v>
      </c>
      <c r="AA179">
        <v>42.09</v>
      </c>
      <c r="AB179">
        <v>0</v>
      </c>
      <c r="AC179">
        <v>0</v>
      </c>
      <c r="AD179">
        <v>0</v>
      </c>
      <c r="AE179">
        <v>9.61</v>
      </c>
      <c r="AF179">
        <v>0</v>
      </c>
      <c r="AG179">
        <v>0</v>
      </c>
      <c r="AH179">
        <v>0</v>
      </c>
      <c r="AI179">
        <v>4.38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1</v>
      </c>
      <c r="AQ179">
        <v>0</v>
      </c>
      <c r="AR179">
        <v>0</v>
      </c>
      <c r="AS179" t="s">
        <v>3</v>
      </c>
      <c r="AT179">
        <v>4</v>
      </c>
      <c r="AU179" t="s">
        <v>230</v>
      </c>
      <c r="AV179">
        <v>0</v>
      </c>
      <c r="AW179">
        <v>2</v>
      </c>
      <c r="AX179">
        <v>48371473</v>
      </c>
      <c r="AY179">
        <v>1</v>
      </c>
      <c r="AZ179">
        <v>0</v>
      </c>
      <c r="BA179">
        <v>180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Y179*Source!I91</f>
        <v>0</v>
      </c>
      <c r="CY179">
        <f t="shared" si="12"/>
        <v>42.09</v>
      </c>
      <c r="CZ179">
        <f t="shared" si="13"/>
        <v>9.61</v>
      </c>
      <c r="DA179">
        <f t="shared" si="14"/>
        <v>4.38</v>
      </c>
      <c r="DB179">
        <v>0</v>
      </c>
    </row>
    <row r="180" spans="1:106">
      <c r="A180">
        <f>ROW(Source!A91)</f>
        <v>91</v>
      </c>
      <c r="B180">
        <v>48370320</v>
      </c>
      <c r="C180">
        <v>48371462</v>
      </c>
      <c r="D180">
        <v>37737283</v>
      </c>
      <c r="E180">
        <v>1</v>
      </c>
      <c r="F180">
        <v>1</v>
      </c>
      <c r="G180">
        <v>1</v>
      </c>
      <c r="H180">
        <v>3</v>
      </c>
      <c r="I180" t="s">
        <v>753</v>
      </c>
      <c r="J180" t="s">
        <v>754</v>
      </c>
      <c r="K180" t="s">
        <v>755</v>
      </c>
      <c r="L180">
        <v>1348</v>
      </c>
      <c r="N180">
        <v>1009</v>
      </c>
      <c r="O180" t="s">
        <v>536</v>
      </c>
      <c r="P180" t="s">
        <v>536</v>
      </c>
      <c r="Q180">
        <v>1000</v>
      </c>
      <c r="W180">
        <v>0</v>
      </c>
      <c r="X180">
        <v>-177336725</v>
      </c>
      <c r="Y180">
        <v>0</v>
      </c>
      <c r="AA180">
        <v>62398.6</v>
      </c>
      <c r="AB180">
        <v>0</v>
      </c>
      <c r="AC180">
        <v>0</v>
      </c>
      <c r="AD180">
        <v>0</v>
      </c>
      <c r="AE180">
        <v>12430</v>
      </c>
      <c r="AF180">
        <v>0</v>
      </c>
      <c r="AG180">
        <v>0</v>
      </c>
      <c r="AH180">
        <v>0</v>
      </c>
      <c r="AI180">
        <v>5.0199999999999996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1</v>
      </c>
      <c r="AQ180">
        <v>0</v>
      </c>
      <c r="AR180">
        <v>0</v>
      </c>
      <c r="AS180" t="s">
        <v>3</v>
      </c>
      <c r="AT180">
        <v>5.0000000000000001E-4</v>
      </c>
      <c r="AU180" t="s">
        <v>230</v>
      </c>
      <c r="AV180">
        <v>0</v>
      </c>
      <c r="AW180">
        <v>2</v>
      </c>
      <c r="AX180">
        <v>48371474</v>
      </c>
      <c r="AY180">
        <v>1</v>
      </c>
      <c r="AZ180">
        <v>0</v>
      </c>
      <c r="BA180">
        <v>181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Y180*Source!I91</f>
        <v>0</v>
      </c>
      <c r="CY180">
        <f t="shared" si="12"/>
        <v>62398.6</v>
      </c>
      <c r="CZ180">
        <f t="shared" si="13"/>
        <v>12430</v>
      </c>
      <c r="DA180">
        <f t="shared" si="14"/>
        <v>5.0199999999999996</v>
      </c>
      <c r="DB180">
        <v>0</v>
      </c>
    </row>
    <row r="181" spans="1:106">
      <c r="A181">
        <f>ROW(Source!A91)</f>
        <v>91</v>
      </c>
      <c r="B181">
        <v>48370320</v>
      </c>
      <c r="C181">
        <v>48371462</v>
      </c>
      <c r="D181">
        <v>37737064</v>
      </c>
      <c r="E181">
        <v>1</v>
      </c>
      <c r="F181">
        <v>1</v>
      </c>
      <c r="G181">
        <v>1</v>
      </c>
      <c r="H181">
        <v>3</v>
      </c>
      <c r="I181" t="s">
        <v>756</v>
      </c>
      <c r="J181" t="s">
        <v>757</v>
      </c>
      <c r="K181" t="s">
        <v>758</v>
      </c>
      <c r="L181">
        <v>1358</v>
      </c>
      <c r="N181">
        <v>1010</v>
      </c>
      <c r="O181" t="s">
        <v>278</v>
      </c>
      <c r="P181" t="s">
        <v>278</v>
      </c>
      <c r="Q181">
        <v>10</v>
      </c>
      <c r="W181">
        <v>0</v>
      </c>
      <c r="X181">
        <v>-1710257751</v>
      </c>
      <c r="Y181">
        <v>0</v>
      </c>
      <c r="AA181">
        <v>3.44</v>
      </c>
      <c r="AB181">
        <v>0</v>
      </c>
      <c r="AC181">
        <v>0</v>
      </c>
      <c r="AD181">
        <v>0</v>
      </c>
      <c r="AE181">
        <v>1.8</v>
      </c>
      <c r="AF181">
        <v>0</v>
      </c>
      <c r="AG181">
        <v>0</v>
      </c>
      <c r="AH181">
        <v>0</v>
      </c>
      <c r="AI181">
        <v>1.91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1</v>
      </c>
      <c r="AQ181">
        <v>0</v>
      </c>
      <c r="AR181">
        <v>0</v>
      </c>
      <c r="AS181" t="s">
        <v>3</v>
      </c>
      <c r="AT181">
        <v>4</v>
      </c>
      <c r="AU181" t="s">
        <v>230</v>
      </c>
      <c r="AV181">
        <v>0</v>
      </c>
      <c r="AW181">
        <v>2</v>
      </c>
      <c r="AX181">
        <v>48371475</v>
      </c>
      <c r="AY181">
        <v>1</v>
      </c>
      <c r="AZ181">
        <v>0</v>
      </c>
      <c r="BA181">
        <v>182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Y181*Source!I91</f>
        <v>0</v>
      </c>
      <c r="CY181">
        <f t="shared" si="12"/>
        <v>3.44</v>
      </c>
      <c r="CZ181">
        <f t="shared" si="13"/>
        <v>1.8</v>
      </c>
      <c r="DA181">
        <f t="shared" si="14"/>
        <v>1.91</v>
      </c>
      <c r="DB181">
        <v>0</v>
      </c>
    </row>
    <row r="182" spans="1:106">
      <c r="A182">
        <f>ROW(Source!A91)</f>
        <v>91</v>
      </c>
      <c r="B182">
        <v>48370320</v>
      </c>
      <c r="C182">
        <v>48371462</v>
      </c>
      <c r="D182">
        <v>37744919</v>
      </c>
      <c r="E182">
        <v>1</v>
      </c>
      <c r="F182">
        <v>1</v>
      </c>
      <c r="G182">
        <v>1</v>
      </c>
      <c r="H182">
        <v>3</v>
      </c>
      <c r="I182" t="s">
        <v>759</v>
      </c>
      <c r="J182" t="s">
        <v>760</v>
      </c>
      <c r="K182" t="s">
        <v>761</v>
      </c>
      <c r="L182">
        <v>1348</v>
      </c>
      <c r="N182">
        <v>1009</v>
      </c>
      <c r="O182" t="s">
        <v>536</v>
      </c>
      <c r="P182" t="s">
        <v>536</v>
      </c>
      <c r="Q182">
        <v>1000</v>
      </c>
      <c r="W182">
        <v>0</v>
      </c>
      <c r="X182">
        <v>-1898151500</v>
      </c>
      <c r="Y182">
        <v>0</v>
      </c>
      <c r="AA182">
        <v>199376.1</v>
      </c>
      <c r="AB182">
        <v>0</v>
      </c>
      <c r="AC182">
        <v>0</v>
      </c>
      <c r="AD182">
        <v>0</v>
      </c>
      <c r="AE182">
        <v>12330</v>
      </c>
      <c r="AF182">
        <v>0</v>
      </c>
      <c r="AG182">
        <v>0</v>
      </c>
      <c r="AH182">
        <v>0</v>
      </c>
      <c r="AI182">
        <v>16.170000000000002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1</v>
      </c>
      <c r="AQ182">
        <v>0</v>
      </c>
      <c r="AR182">
        <v>0</v>
      </c>
      <c r="AS182" t="s">
        <v>3</v>
      </c>
      <c r="AT182">
        <v>8.0000000000000004E-4</v>
      </c>
      <c r="AU182" t="s">
        <v>230</v>
      </c>
      <c r="AV182">
        <v>0</v>
      </c>
      <c r="AW182">
        <v>2</v>
      </c>
      <c r="AX182">
        <v>48371476</v>
      </c>
      <c r="AY182">
        <v>1</v>
      </c>
      <c r="AZ182">
        <v>0</v>
      </c>
      <c r="BA182">
        <v>183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Y182*Source!I91</f>
        <v>0</v>
      </c>
      <c r="CY182">
        <f t="shared" si="12"/>
        <v>199376.1</v>
      </c>
      <c r="CZ182">
        <f t="shared" si="13"/>
        <v>12330</v>
      </c>
      <c r="DA182">
        <f t="shared" si="14"/>
        <v>16.170000000000002</v>
      </c>
      <c r="DB182">
        <v>0</v>
      </c>
    </row>
    <row r="183" spans="1:106">
      <c r="A183">
        <f>ROW(Source!A91)</f>
        <v>91</v>
      </c>
      <c r="B183">
        <v>48370320</v>
      </c>
      <c r="C183">
        <v>48371462</v>
      </c>
      <c r="D183">
        <v>37764492</v>
      </c>
      <c r="E183">
        <v>1</v>
      </c>
      <c r="F183">
        <v>1</v>
      </c>
      <c r="G183">
        <v>1</v>
      </c>
      <c r="H183">
        <v>3</v>
      </c>
      <c r="I183" t="s">
        <v>762</v>
      </c>
      <c r="J183" t="s">
        <v>763</v>
      </c>
      <c r="K183" t="s">
        <v>764</v>
      </c>
      <c r="L183">
        <v>1035</v>
      </c>
      <c r="N183">
        <v>1013</v>
      </c>
      <c r="O183" t="s">
        <v>255</v>
      </c>
      <c r="P183" t="s">
        <v>255</v>
      </c>
      <c r="Q183">
        <v>1</v>
      </c>
      <c r="W183">
        <v>0</v>
      </c>
      <c r="X183">
        <v>694613805</v>
      </c>
      <c r="Y183">
        <v>0</v>
      </c>
      <c r="AA183">
        <v>2973.48</v>
      </c>
      <c r="AB183">
        <v>0</v>
      </c>
      <c r="AC183">
        <v>0</v>
      </c>
      <c r="AD183">
        <v>0</v>
      </c>
      <c r="AE183">
        <v>523.5</v>
      </c>
      <c r="AF183">
        <v>0</v>
      </c>
      <c r="AG183">
        <v>0</v>
      </c>
      <c r="AH183">
        <v>0</v>
      </c>
      <c r="AI183">
        <v>5.68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1</v>
      </c>
      <c r="AQ183">
        <v>0</v>
      </c>
      <c r="AR183">
        <v>0</v>
      </c>
      <c r="AS183" t="s">
        <v>3</v>
      </c>
      <c r="AT183">
        <v>10</v>
      </c>
      <c r="AU183" t="s">
        <v>230</v>
      </c>
      <c r="AV183">
        <v>0</v>
      </c>
      <c r="AW183">
        <v>2</v>
      </c>
      <c r="AX183">
        <v>48371477</v>
      </c>
      <c r="AY183">
        <v>1</v>
      </c>
      <c r="AZ183">
        <v>0</v>
      </c>
      <c r="BA183">
        <v>184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Y183*Source!I91</f>
        <v>0</v>
      </c>
      <c r="CY183">
        <f t="shared" si="12"/>
        <v>2973.48</v>
      </c>
      <c r="CZ183">
        <f t="shared" si="13"/>
        <v>523.5</v>
      </c>
      <c r="DA183">
        <f t="shared" si="14"/>
        <v>5.68</v>
      </c>
      <c r="DB183">
        <v>0</v>
      </c>
    </row>
    <row r="184" spans="1:106">
      <c r="A184">
        <f>ROW(Source!A91)</f>
        <v>91</v>
      </c>
      <c r="B184">
        <v>48370320</v>
      </c>
      <c r="C184">
        <v>48371462</v>
      </c>
      <c r="D184">
        <v>37794860</v>
      </c>
      <c r="E184">
        <v>1</v>
      </c>
      <c r="F184">
        <v>1</v>
      </c>
      <c r="G184">
        <v>1</v>
      </c>
      <c r="H184">
        <v>3</v>
      </c>
      <c r="I184" t="s">
        <v>765</v>
      </c>
      <c r="J184" t="s">
        <v>766</v>
      </c>
      <c r="K184" t="s">
        <v>767</v>
      </c>
      <c r="L184">
        <v>1346</v>
      </c>
      <c r="N184">
        <v>1009</v>
      </c>
      <c r="O184" t="s">
        <v>172</v>
      </c>
      <c r="P184" t="s">
        <v>172</v>
      </c>
      <c r="Q184">
        <v>1</v>
      </c>
      <c r="W184">
        <v>0</v>
      </c>
      <c r="X184">
        <v>599138351</v>
      </c>
      <c r="Y184">
        <v>0</v>
      </c>
      <c r="AA184">
        <v>19.73</v>
      </c>
      <c r="AB184">
        <v>0</v>
      </c>
      <c r="AC184">
        <v>0</v>
      </c>
      <c r="AD184">
        <v>0</v>
      </c>
      <c r="AE184">
        <v>6.6</v>
      </c>
      <c r="AF184">
        <v>0</v>
      </c>
      <c r="AG184">
        <v>0</v>
      </c>
      <c r="AH184">
        <v>0</v>
      </c>
      <c r="AI184">
        <v>2.99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1</v>
      </c>
      <c r="AQ184">
        <v>0</v>
      </c>
      <c r="AR184">
        <v>0</v>
      </c>
      <c r="AS184" t="s">
        <v>3</v>
      </c>
      <c r="AT184">
        <v>20</v>
      </c>
      <c r="AU184" t="s">
        <v>230</v>
      </c>
      <c r="AV184">
        <v>0</v>
      </c>
      <c r="AW184">
        <v>2</v>
      </c>
      <c r="AX184">
        <v>48371478</v>
      </c>
      <c r="AY184">
        <v>1</v>
      </c>
      <c r="AZ184">
        <v>0</v>
      </c>
      <c r="BA184">
        <v>185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Y184*Source!I91</f>
        <v>0</v>
      </c>
      <c r="CY184">
        <f t="shared" si="12"/>
        <v>19.73</v>
      </c>
      <c r="CZ184">
        <f t="shared" si="13"/>
        <v>6.6</v>
      </c>
      <c r="DA184">
        <f t="shared" si="14"/>
        <v>2.99</v>
      </c>
      <c r="DB184">
        <v>0</v>
      </c>
    </row>
    <row r="185" spans="1:106">
      <c r="A185">
        <f>ROW(Source!A92)</f>
        <v>92</v>
      </c>
      <c r="B185">
        <v>48370320</v>
      </c>
      <c r="C185">
        <v>48371579</v>
      </c>
      <c r="D185">
        <v>23136905</v>
      </c>
      <c r="E185">
        <v>1</v>
      </c>
      <c r="F185">
        <v>1</v>
      </c>
      <c r="G185">
        <v>1</v>
      </c>
      <c r="H185">
        <v>1</v>
      </c>
      <c r="I185" t="s">
        <v>648</v>
      </c>
      <c r="J185" t="s">
        <v>3</v>
      </c>
      <c r="K185" t="s">
        <v>649</v>
      </c>
      <c r="L185">
        <v>1369</v>
      </c>
      <c r="N185">
        <v>1013</v>
      </c>
      <c r="O185" t="s">
        <v>510</v>
      </c>
      <c r="P185" t="s">
        <v>510</v>
      </c>
      <c r="Q185">
        <v>1</v>
      </c>
      <c r="W185">
        <v>0</v>
      </c>
      <c r="X185">
        <v>1351218007</v>
      </c>
      <c r="Y185">
        <v>119.922</v>
      </c>
      <c r="AA185">
        <v>0</v>
      </c>
      <c r="AB185">
        <v>0</v>
      </c>
      <c r="AC185">
        <v>0</v>
      </c>
      <c r="AD185">
        <v>8.58</v>
      </c>
      <c r="AE185">
        <v>0</v>
      </c>
      <c r="AF185">
        <v>0</v>
      </c>
      <c r="AG185">
        <v>0</v>
      </c>
      <c r="AH185">
        <v>8.58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1</v>
      </c>
      <c r="AQ185">
        <v>0</v>
      </c>
      <c r="AR185">
        <v>0</v>
      </c>
      <c r="AS185" t="s">
        <v>3</v>
      </c>
      <c r="AT185">
        <v>104.28</v>
      </c>
      <c r="AU185" t="s">
        <v>161</v>
      </c>
      <c r="AV185">
        <v>1</v>
      </c>
      <c r="AW185">
        <v>2</v>
      </c>
      <c r="AX185">
        <v>48371580</v>
      </c>
      <c r="AY185">
        <v>1</v>
      </c>
      <c r="AZ185">
        <v>0</v>
      </c>
      <c r="BA185">
        <v>186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Y185*Source!I92</f>
        <v>2.5183620000000002</v>
      </c>
      <c r="CY185">
        <f>AD185</f>
        <v>8.58</v>
      </c>
      <c r="CZ185">
        <f>AH185</f>
        <v>8.58</v>
      </c>
      <c r="DA185">
        <f>AL185</f>
        <v>1</v>
      </c>
      <c r="DB185">
        <v>0</v>
      </c>
    </row>
    <row r="186" spans="1:106">
      <c r="A186">
        <f>ROW(Source!A92)</f>
        <v>92</v>
      </c>
      <c r="B186">
        <v>48370320</v>
      </c>
      <c r="C186">
        <v>48371579</v>
      </c>
      <c r="D186">
        <v>121548</v>
      </c>
      <c r="E186">
        <v>1</v>
      </c>
      <c r="F186">
        <v>1</v>
      </c>
      <c r="G186">
        <v>1</v>
      </c>
      <c r="H186">
        <v>1</v>
      </c>
      <c r="I186" t="s">
        <v>24</v>
      </c>
      <c r="J186" t="s">
        <v>3</v>
      </c>
      <c r="K186" t="s">
        <v>511</v>
      </c>
      <c r="L186">
        <v>608254</v>
      </c>
      <c r="N186">
        <v>1013</v>
      </c>
      <c r="O186" t="s">
        <v>512</v>
      </c>
      <c r="P186" t="s">
        <v>512</v>
      </c>
      <c r="Q186">
        <v>1</v>
      </c>
      <c r="W186">
        <v>0</v>
      </c>
      <c r="X186">
        <v>-185737400</v>
      </c>
      <c r="Y186">
        <v>14.1875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1</v>
      </c>
      <c r="AQ186">
        <v>0</v>
      </c>
      <c r="AR186">
        <v>0</v>
      </c>
      <c r="AS186" t="s">
        <v>3</v>
      </c>
      <c r="AT186">
        <v>11.35</v>
      </c>
      <c r="AU186" t="s">
        <v>160</v>
      </c>
      <c r="AV186">
        <v>2</v>
      </c>
      <c r="AW186">
        <v>2</v>
      </c>
      <c r="AX186">
        <v>48371581</v>
      </c>
      <c r="AY186">
        <v>1</v>
      </c>
      <c r="AZ186">
        <v>0</v>
      </c>
      <c r="BA186">
        <v>187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Y186*Source!I92</f>
        <v>0.29793750000000002</v>
      </c>
      <c r="CY186">
        <f>AD186</f>
        <v>0</v>
      </c>
      <c r="CZ186">
        <f>AH186</f>
        <v>0</v>
      </c>
      <c r="DA186">
        <f>AL186</f>
        <v>1</v>
      </c>
      <c r="DB186">
        <v>0</v>
      </c>
    </row>
    <row r="187" spans="1:106">
      <c r="A187">
        <f>ROW(Source!A92)</f>
        <v>92</v>
      </c>
      <c r="B187">
        <v>48370320</v>
      </c>
      <c r="C187">
        <v>48371579</v>
      </c>
      <c r="D187">
        <v>37802359</v>
      </c>
      <c r="E187">
        <v>1</v>
      </c>
      <c r="F187">
        <v>1</v>
      </c>
      <c r="G187">
        <v>1</v>
      </c>
      <c r="H187">
        <v>2</v>
      </c>
      <c r="I187" t="s">
        <v>583</v>
      </c>
      <c r="J187" t="s">
        <v>584</v>
      </c>
      <c r="K187" t="s">
        <v>585</v>
      </c>
      <c r="L187">
        <v>1368</v>
      </c>
      <c r="N187">
        <v>1011</v>
      </c>
      <c r="O187" t="s">
        <v>516</v>
      </c>
      <c r="P187" t="s">
        <v>516</v>
      </c>
      <c r="Q187">
        <v>1</v>
      </c>
      <c r="W187">
        <v>0</v>
      </c>
      <c r="X187">
        <v>1604115853</v>
      </c>
      <c r="Y187">
        <v>12.112499999999999</v>
      </c>
      <c r="AA187">
        <v>0</v>
      </c>
      <c r="AB187">
        <v>718.22</v>
      </c>
      <c r="AC187">
        <v>252.65</v>
      </c>
      <c r="AD187">
        <v>0</v>
      </c>
      <c r="AE187">
        <v>0</v>
      </c>
      <c r="AF187">
        <v>103.49</v>
      </c>
      <c r="AG187">
        <v>12.1</v>
      </c>
      <c r="AH187">
        <v>0</v>
      </c>
      <c r="AI187">
        <v>1</v>
      </c>
      <c r="AJ187">
        <v>6.94</v>
      </c>
      <c r="AK187">
        <v>20.88</v>
      </c>
      <c r="AL187">
        <v>1</v>
      </c>
      <c r="AN187">
        <v>0</v>
      </c>
      <c r="AO187">
        <v>1</v>
      </c>
      <c r="AP187">
        <v>1</v>
      </c>
      <c r="AQ187">
        <v>0</v>
      </c>
      <c r="AR187">
        <v>0</v>
      </c>
      <c r="AS187" t="s">
        <v>3</v>
      </c>
      <c r="AT187">
        <v>9.69</v>
      </c>
      <c r="AU187" t="s">
        <v>160</v>
      </c>
      <c r="AV187">
        <v>0</v>
      </c>
      <c r="AW187">
        <v>2</v>
      </c>
      <c r="AX187">
        <v>48371582</v>
      </c>
      <c r="AY187">
        <v>1</v>
      </c>
      <c r="AZ187">
        <v>0</v>
      </c>
      <c r="BA187">
        <v>188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Y187*Source!I92</f>
        <v>0.25436249999999999</v>
      </c>
      <c r="CY187">
        <f>AB187</f>
        <v>718.22</v>
      </c>
      <c r="CZ187">
        <f>AF187</f>
        <v>103.49</v>
      </c>
      <c r="DA187">
        <f>AJ187</f>
        <v>6.94</v>
      </c>
      <c r="DB187">
        <v>0</v>
      </c>
    </row>
    <row r="188" spans="1:106">
      <c r="A188">
        <f>ROW(Source!A92)</f>
        <v>92</v>
      </c>
      <c r="B188">
        <v>48370320</v>
      </c>
      <c r="C188">
        <v>48371579</v>
      </c>
      <c r="D188">
        <v>37802443</v>
      </c>
      <c r="E188">
        <v>1</v>
      </c>
      <c r="F188">
        <v>1</v>
      </c>
      <c r="G188">
        <v>1</v>
      </c>
      <c r="H188">
        <v>2</v>
      </c>
      <c r="I188" t="s">
        <v>586</v>
      </c>
      <c r="J188" t="s">
        <v>587</v>
      </c>
      <c r="K188" t="s">
        <v>588</v>
      </c>
      <c r="L188">
        <v>1368</v>
      </c>
      <c r="N188">
        <v>1011</v>
      </c>
      <c r="O188" t="s">
        <v>516</v>
      </c>
      <c r="P188" t="s">
        <v>516</v>
      </c>
      <c r="Q188">
        <v>1</v>
      </c>
      <c r="W188">
        <v>0</v>
      </c>
      <c r="X188">
        <v>1447433125</v>
      </c>
      <c r="Y188">
        <v>2.0749999999999997</v>
      </c>
      <c r="AA188">
        <v>0</v>
      </c>
      <c r="AB188">
        <v>981.95</v>
      </c>
      <c r="AC188">
        <v>252.65</v>
      </c>
      <c r="AD188">
        <v>0</v>
      </c>
      <c r="AE188">
        <v>0</v>
      </c>
      <c r="AF188">
        <v>124.14</v>
      </c>
      <c r="AG188">
        <v>12.1</v>
      </c>
      <c r="AH188">
        <v>0</v>
      </c>
      <c r="AI188">
        <v>1</v>
      </c>
      <c r="AJ188">
        <v>7.91</v>
      </c>
      <c r="AK188">
        <v>20.88</v>
      </c>
      <c r="AL188">
        <v>1</v>
      </c>
      <c r="AN188">
        <v>0</v>
      </c>
      <c r="AO188">
        <v>1</v>
      </c>
      <c r="AP188">
        <v>1</v>
      </c>
      <c r="AQ188">
        <v>0</v>
      </c>
      <c r="AR188">
        <v>0</v>
      </c>
      <c r="AS188" t="s">
        <v>3</v>
      </c>
      <c r="AT188">
        <v>1.66</v>
      </c>
      <c r="AU188" t="s">
        <v>160</v>
      </c>
      <c r="AV188">
        <v>0</v>
      </c>
      <c r="AW188">
        <v>2</v>
      </c>
      <c r="AX188">
        <v>48371583</v>
      </c>
      <c r="AY188">
        <v>1</v>
      </c>
      <c r="AZ188">
        <v>0</v>
      </c>
      <c r="BA188">
        <v>189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Y188*Source!I92</f>
        <v>4.3574999999999996E-2</v>
      </c>
      <c r="CY188">
        <f>AB188</f>
        <v>981.95</v>
      </c>
      <c r="CZ188">
        <f>AF188</f>
        <v>124.14</v>
      </c>
      <c r="DA188">
        <f>AJ188</f>
        <v>7.91</v>
      </c>
      <c r="DB188">
        <v>0</v>
      </c>
    </row>
    <row r="189" spans="1:106">
      <c r="A189">
        <f>ROW(Source!A92)</f>
        <v>92</v>
      </c>
      <c r="B189">
        <v>48370320</v>
      </c>
      <c r="C189">
        <v>48371579</v>
      </c>
      <c r="D189">
        <v>37803075</v>
      </c>
      <c r="E189">
        <v>1</v>
      </c>
      <c r="F189">
        <v>1</v>
      </c>
      <c r="G189">
        <v>1</v>
      </c>
      <c r="H189">
        <v>2</v>
      </c>
      <c r="I189" t="s">
        <v>768</v>
      </c>
      <c r="J189" t="s">
        <v>769</v>
      </c>
      <c r="K189" t="s">
        <v>770</v>
      </c>
      <c r="L189">
        <v>1368</v>
      </c>
      <c r="N189">
        <v>1011</v>
      </c>
      <c r="O189" t="s">
        <v>516</v>
      </c>
      <c r="P189" t="s">
        <v>516</v>
      </c>
      <c r="Q189">
        <v>1</v>
      </c>
      <c r="W189">
        <v>0</v>
      </c>
      <c r="X189">
        <v>590385320</v>
      </c>
      <c r="Y189">
        <v>2.2374999999999998</v>
      </c>
      <c r="AA189">
        <v>0</v>
      </c>
      <c r="AB189">
        <v>168.27</v>
      </c>
      <c r="AC189">
        <v>0</v>
      </c>
      <c r="AD189">
        <v>0</v>
      </c>
      <c r="AE189">
        <v>0</v>
      </c>
      <c r="AF189">
        <v>33.19</v>
      </c>
      <c r="AG189">
        <v>0</v>
      </c>
      <c r="AH189">
        <v>0</v>
      </c>
      <c r="AI189">
        <v>1</v>
      </c>
      <c r="AJ189">
        <v>5.07</v>
      </c>
      <c r="AK189">
        <v>20.88</v>
      </c>
      <c r="AL189">
        <v>1</v>
      </c>
      <c r="AN189">
        <v>0</v>
      </c>
      <c r="AO189">
        <v>1</v>
      </c>
      <c r="AP189">
        <v>1</v>
      </c>
      <c r="AQ189">
        <v>0</v>
      </c>
      <c r="AR189">
        <v>0</v>
      </c>
      <c r="AS189" t="s">
        <v>3</v>
      </c>
      <c r="AT189">
        <v>1.79</v>
      </c>
      <c r="AU189" t="s">
        <v>160</v>
      </c>
      <c r="AV189">
        <v>0</v>
      </c>
      <c r="AW189">
        <v>2</v>
      </c>
      <c r="AX189">
        <v>48371584</v>
      </c>
      <c r="AY189">
        <v>1</v>
      </c>
      <c r="AZ189">
        <v>0</v>
      </c>
      <c r="BA189">
        <v>190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Y189*Source!I92</f>
        <v>4.6987500000000001E-2</v>
      </c>
      <c r="CY189">
        <f>AB189</f>
        <v>168.27</v>
      </c>
      <c r="CZ189">
        <f>AF189</f>
        <v>33.19</v>
      </c>
      <c r="DA189">
        <f>AJ189</f>
        <v>5.07</v>
      </c>
      <c r="DB189">
        <v>0</v>
      </c>
    </row>
    <row r="190" spans="1:106">
      <c r="A190">
        <f>ROW(Source!A92)</f>
        <v>92</v>
      </c>
      <c r="B190">
        <v>48370320</v>
      </c>
      <c r="C190">
        <v>48371579</v>
      </c>
      <c r="D190">
        <v>37804456</v>
      </c>
      <c r="E190">
        <v>1</v>
      </c>
      <c r="F190">
        <v>1</v>
      </c>
      <c r="G190">
        <v>1</v>
      </c>
      <c r="H190">
        <v>2</v>
      </c>
      <c r="I190" t="s">
        <v>530</v>
      </c>
      <c r="J190" t="s">
        <v>531</v>
      </c>
      <c r="K190" t="s">
        <v>532</v>
      </c>
      <c r="L190">
        <v>1368</v>
      </c>
      <c r="N190">
        <v>1011</v>
      </c>
      <c r="O190" t="s">
        <v>516</v>
      </c>
      <c r="P190" t="s">
        <v>516</v>
      </c>
      <c r="Q190">
        <v>1</v>
      </c>
      <c r="W190">
        <v>0</v>
      </c>
      <c r="X190">
        <v>-671646184</v>
      </c>
      <c r="Y190">
        <v>2.4874999999999998</v>
      </c>
      <c r="AA190">
        <v>0</v>
      </c>
      <c r="AB190">
        <v>844.19</v>
      </c>
      <c r="AC190">
        <v>216.11</v>
      </c>
      <c r="AD190">
        <v>0</v>
      </c>
      <c r="AE190">
        <v>0</v>
      </c>
      <c r="AF190">
        <v>91.76</v>
      </c>
      <c r="AG190">
        <v>10.35</v>
      </c>
      <c r="AH190">
        <v>0</v>
      </c>
      <c r="AI190">
        <v>1</v>
      </c>
      <c r="AJ190">
        <v>9.1999999999999993</v>
      </c>
      <c r="AK190">
        <v>20.88</v>
      </c>
      <c r="AL190">
        <v>1</v>
      </c>
      <c r="AN190">
        <v>0</v>
      </c>
      <c r="AO190">
        <v>1</v>
      </c>
      <c r="AP190">
        <v>1</v>
      </c>
      <c r="AQ190">
        <v>0</v>
      </c>
      <c r="AR190">
        <v>0</v>
      </c>
      <c r="AS190" t="s">
        <v>3</v>
      </c>
      <c r="AT190">
        <v>1.99</v>
      </c>
      <c r="AU190" t="s">
        <v>160</v>
      </c>
      <c r="AV190">
        <v>0</v>
      </c>
      <c r="AW190">
        <v>2</v>
      </c>
      <c r="AX190">
        <v>48371585</v>
      </c>
      <c r="AY190">
        <v>1</v>
      </c>
      <c r="AZ190">
        <v>0</v>
      </c>
      <c r="BA190">
        <v>191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Y190*Source!I92</f>
        <v>5.2237499999999999E-2</v>
      </c>
      <c r="CY190">
        <f>AB190</f>
        <v>844.19</v>
      </c>
      <c r="CZ190">
        <f>AF190</f>
        <v>91.76</v>
      </c>
      <c r="DA190">
        <f>AJ190</f>
        <v>9.1999999999999993</v>
      </c>
      <c r="DB190">
        <v>0</v>
      </c>
    </row>
    <row r="191" spans="1:106">
      <c r="A191">
        <f>ROW(Source!A92)</f>
        <v>92</v>
      </c>
      <c r="B191">
        <v>48370320</v>
      </c>
      <c r="C191">
        <v>48371579</v>
      </c>
      <c r="D191">
        <v>37736992</v>
      </c>
      <c r="E191">
        <v>1</v>
      </c>
      <c r="F191">
        <v>1</v>
      </c>
      <c r="G191">
        <v>1</v>
      </c>
      <c r="H191">
        <v>3</v>
      </c>
      <c r="I191" t="s">
        <v>771</v>
      </c>
      <c r="J191" t="s">
        <v>772</v>
      </c>
      <c r="K191" t="s">
        <v>773</v>
      </c>
      <c r="L191">
        <v>1348</v>
      </c>
      <c r="N191">
        <v>1009</v>
      </c>
      <c r="O191" t="s">
        <v>536</v>
      </c>
      <c r="P191" t="s">
        <v>536</v>
      </c>
      <c r="Q191">
        <v>1000</v>
      </c>
      <c r="W191">
        <v>0</v>
      </c>
      <c r="X191">
        <v>-1999067301</v>
      </c>
      <c r="Y191">
        <v>2.0999999999999999E-3</v>
      </c>
      <c r="AA191">
        <v>45468.32</v>
      </c>
      <c r="AB191">
        <v>0</v>
      </c>
      <c r="AC191">
        <v>0</v>
      </c>
      <c r="AD191">
        <v>0</v>
      </c>
      <c r="AE191">
        <v>9167</v>
      </c>
      <c r="AF191">
        <v>0</v>
      </c>
      <c r="AG191">
        <v>0</v>
      </c>
      <c r="AH191">
        <v>0</v>
      </c>
      <c r="AI191">
        <v>4.96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3</v>
      </c>
      <c r="AT191">
        <v>2.0999999999999999E-3</v>
      </c>
      <c r="AU191" t="s">
        <v>3</v>
      </c>
      <c r="AV191">
        <v>0</v>
      </c>
      <c r="AW191">
        <v>2</v>
      </c>
      <c r="AX191">
        <v>48371586</v>
      </c>
      <c r="AY191">
        <v>1</v>
      </c>
      <c r="AZ191">
        <v>0</v>
      </c>
      <c r="BA191">
        <v>192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Y191*Source!I92</f>
        <v>4.4100000000000001E-5</v>
      </c>
      <c r="CY191">
        <f t="shared" ref="CY191:CY201" si="15">AA191</f>
        <v>45468.32</v>
      </c>
      <c r="CZ191">
        <f t="shared" ref="CZ191:CZ201" si="16">AE191</f>
        <v>9167</v>
      </c>
      <c r="DA191">
        <f t="shared" ref="DA191:DA201" si="17">AI191</f>
        <v>4.96</v>
      </c>
      <c r="DB191">
        <v>0</v>
      </c>
    </row>
    <row r="192" spans="1:106">
      <c r="A192">
        <f>ROW(Source!A92)</f>
        <v>92</v>
      </c>
      <c r="B192">
        <v>48370320</v>
      </c>
      <c r="C192">
        <v>48371579</v>
      </c>
      <c r="D192">
        <v>37734130</v>
      </c>
      <c r="E192">
        <v>1</v>
      </c>
      <c r="F192">
        <v>1</v>
      </c>
      <c r="G192">
        <v>1</v>
      </c>
      <c r="H192">
        <v>3</v>
      </c>
      <c r="I192" t="s">
        <v>774</v>
      </c>
      <c r="J192" t="s">
        <v>775</v>
      </c>
      <c r="K192" t="s">
        <v>776</v>
      </c>
      <c r="L192">
        <v>1348</v>
      </c>
      <c r="N192">
        <v>1009</v>
      </c>
      <c r="O192" t="s">
        <v>536</v>
      </c>
      <c r="P192" t="s">
        <v>536</v>
      </c>
      <c r="Q192">
        <v>1000</v>
      </c>
      <c r="W192">
        <v>0</v>
      </c>
      <c r="X192">
        <v>1514578280</v>
      </c>
      <c r="Y192">
        <v>2.3599999999999999E-2</v>
      </c>
      <c r="AA192">
        <v>8898.75</v>
      </c>
      <c r="AB192">
        <v>0</v>
      </c>
      <c r="AC192">
        <v>0</v>
      </c>
      <c r="AD192">
        <v>0</v>
      </c>
      <c r="AE192">
        <v>1695</v>
      </c>
      <c r="AF192">
        <v>0</v>
      </c>
      <c r="AG192">
        <v>0</v>
      </c>
      <c r="AH192">
        <v>0</v>
      </c>
      <c r="AI192">
        <v>5.25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3</v>
      </c>
      <c r="AT192">
        <v>2.3599999999999999E-2</v>
      </c>
      <c r="AU192" t="s">
        <v>3</v>
      </c>
      <c r="AV192">
        <v>0</v>
      </c>
      <c r="AW192">
        <v>2</v>
      </c>
      <c r="AX192">
        <v>48371587</v>
      </c>
      <c r="AY192">
        <v>1</v>
      </c>
      <c r="AZ192">
        <v>0</v>
      </c>
      <c r="BA192">
        <v>193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Y192*Source!I92</f>
        <v>4.9560000000000001E-4</v>
      </c>
      <c r="CY192">
        <f t="shared" si="15"/>
        <v>8898.75</v>
      </c>
      <c r="CZ192">
        <f t="shared" si="16"/>
        <v>1695</v>
      </c>
      <c r="DA192">
        <f t="shared" si="17"/>
        <v>5.25</v>
      </c>
      <c r="DB192">
        <v>0</v>
      </c>
    </row>
    <row r="193" spans="1:106">
      <c r="A193">
        <f>ROW(Source!A92)</f>
        <v>92</v>
      </c>
      <c r="B193">
        <v>48370320</v>
      </c>
      <c r="C193">
        <v>48371579</v>
      </c>
      <c r="D193">
        <v>37731351</v>
      </c>
      <c r="E193">
        <v>1</v>
      </c>
      <c r="F193">
        <v>1</v>
      </c>
      <c r="G193">
        <v>1</v>
      </c>
      <c r="H193">
        <v>3</v>
      </c>
      <c r="I193" t="s">
        <v>777</v>
      </c>
      <c r="J193" t="s">
        <v>778</v>
      </c>
      <c r="K193" t="s">
        <v>779</v>
      </c>
      <c r="L193">
        <v>1327</v>
      </c>
      <c r="N193">
        <v>1005</v>
      </c>
      <c r="O193" t="s">
        <v>189</v>
      </c>
      <c r="P193" t="s">
        <v>189</v>
      </c>
      <c r="Q193">
        <v>1</v>
      </c>
      <c r="W193">
        <v>0</v>
      </c>
      <c r="X193">
        <v>1800201589</v>
      </c>
      <c r="Y193">
        <v>89</v>
      </c>
      <c r="AA193">
        <v>23.28</v>
      </c>
      <c r="AB193">
        <v>0</v>
      </c>
      <c r="AC193">
        <v>0</v>
      </c>
      <c r="AD193">
        <v>0</v>
      </c>
      <c r="AE193">
        <v>5.82</v>
      </c>
      <c r="AF193">
        <v>0</v>
      </c>
      <c r="AG193">
        <v>0</v>
      </c>
      <c r="AH193">
        <v>0</v>
      </c>
      <c r="AI193">
        <v>4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S193" t="s">
        <v>3</v>
      </c>
      <c r="AT193">
        <v>89</v>
      </c>
      <c r="AU193" t="s">
        <v>3</v>
      </c>
      <c r="AV193">
        <v>0</v>
      </c>
      <c r="AW193">
        <v>2</v>
      </c>
      <c r="AX193">
        <v>48371588</v>
      </c>
      <c r="AY193">
        <v>1</v>
      </c>
      <c r="AZ193">
        <v>0</v>
      </c>
      <c r="BA193">
        <v>194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Y193*Source!I92</f>
        <v>1.8690000000000002</v>
      </c>
      <c r="CY193">
        <f t="shared" si="15"/>
        <v>23.28</v>
      </c>
      <c r="CZ193">
        <f t="shared" si="16"/>
        <v>5.82</v>
      </c>
      <c r="DA193">
        <f t="shared" si="17"/>
        <v>4</v>
      </c>
      <c r="DB193">
        <v>0</v>
      </c>
    </row>
    <row r="194" spans="1:106">
      <c r="A194">
        <f>ROW(Source!A92)</f>
        <v>92</v>
      </c>
      <c r="B194">
        <v>48370320</v>
      </c>
      <c r="C194">
        <v>48371579</v>
      </c>
      <c r="D194">
        <v>37735313</v>
      </c>
      <c r="E194">
        <v>1</v>
      </c>
      <c r="F194">
        <v>1</v>
      </c>
      <c r="G194">
        <v>1</v>
      </c>
      <c r="H194">
        <v>3</v>
      </c>
      <c r="I194" t="s">
        <v>780</v>
      </c>
      <c r="J194" t="s">
        <v>781</v>
      </c>
      <c r="K194" t="s">
        <v>782</v>
      </c>
      <c r="L194">
        <v>1346</v>
      </c>
      <c r="N194">
        <v>1009</v>
      </c>
      <c r="O194" t="s">
        <v>172</v>
      </c>
      <c r="P194" t="s">
        <v>172</v>
      </c>
      <c r="Q194">
        <v>1</v>
      </c>
      <c r="W194">
        <v>0</v>
      </c>
      <c r="X194">
        <v>-707525717</v>
      </c>
      <c r="Y194">
        <v>37.5</v>
      </c>
      <c r="AA194">
        <v>64.959999999999994</v>
      </c>
      <c r="AB194">
        <v>0</v>
      </c>
      <c r="AC194">
        <v>0</v>
      </c>
      <c r="AD194">
        <v>0</v>
      </c>
      <c r="AE194">
        <v>10.41</v>
      </c>
      <c r="AF194">
        <v>0</v>
      </c>
      <c r="AG194">
        <v>0</v>
      </c>
      <c r="AH194">
        <v>0</v>
      </c>
      <c r="AI194">
        <v>6.24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S194" t="s">
        <v>3</v>
      </c>
      <c r="AT194">
        <v>37.5</v>
      </c>
      <c r="AU194" t="s">
        <v>3</v>
      </c>
      <c r="AV194">
        <v>0</v>
      </c>
      <c r="AW194">
        <v>2</v>
      </c>
      <c r="AX194">
        <v>48371589</v>
      </c>
      <c r="AY194">
        <v>1</v>
      </c>
      <c r="AZ194">
        <v>0</v>
      </c>
      <c r="BA194">
        <v>195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Y194*Source!I92</f>
        <v>0.78750000000000009</v>
      </c>
      <c r="CY194">
        <f t="shared" si="15"/>
        <v>64.959999999999994</v>
      </c>
      <c r="CZ194">
        <f t="shared" si="16"/>
        <v>10.41</v>
      </c>
      <c r="DA194">
        <f t="shared" si="17"/>
        <v>6.24</v>
      </c>
      <c r="DB194">
        <v>0</v>
      </c>
    </row>
    <row r="195" spans="1:106">
      <c r="A195">
        <f>ROW(Source!A92)</f>
        <v>92</v>
      </c>
      <c r="B195">
        <v>48370320</v>
      </c>
      <c r="C195">
        <v>48371579</v>
      </c>
      <c r="D195">
        <v>37736933</v>
      </c>
      <c r="E195">
        <v>1</v>
      </c>
      <c r="F195">
        <v>1</v>
      </c>
      <c r="G195">
        <v>1</v>
      </c>
      <c r="H195">
        <v>3</v>
      </c>
      <c r="I195" t="s">
        <v>783</v>
      </c>
      <c r="J195" t="s">
        <v>784</v>
      </c>
      <c r="K195" t="s">
        <v>785</v>
      </c>
      <c r="L195">
        <v>1348</v>
      </c>
      <c r="N195">
        <v>1009</v>
      </c>
      <c r="O195" t="s">
        <v>536</v>
      </c>
      <c r="P195" t="s">
        <v>536</v>
      </c>
      <c r="Q195">
        <v>1000</v>
      </c>
      <c r="W195">
        <v>0</v>
      </c>
      <c r="X195">
        <v>-667930777</v>
      </c>
      <c r="Y195">
        <v>4.13E-3</v>
      </c>
      <c r="AA195">
        <v>51873.36</v>
      </c>
      <c r="AB195">
        <v>0</v>
      </c>
      <c r="AC195">
        <v>0</v>
      </c>
      <c r="AD195">
        <v>0</v>
      </c>
      <c r="AE195">
        <v>12936</v>
      </c>
      <c r="AF195">
        <v>0</v>
      </c>
      <c r="AG195">
        <v>0</v>
      </c>
      <c r="AH195">
        <v>0</v>
      </c>
      <c r="AI195">
        <v>4.01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S195" t="s">
        <v>3</v>
      </c>
      <c r="AT195">
        <v>4.13E-3</v>
      </c>
      <c r="AU195" t="s">
        <v>3</v>
      </c>
      <c r="AV195">
        <v>0</v>
      </c>
      <c r="AW195">
        <v>2</v>
      </c>
      <c r="AX195">
        <v>48371590</v>
      </c>
      <c r="AY195">
        <v>1</v>
      </c>
      <c r="AZ195">
        <v>0</v>
      </c>
      <c r="BA195">
        <v>196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Y195*Source!I92</f>
        <v>8.6730000000000005E-5</v>
      </c>
      <c r="CY195">
        <f t="shared" si="15"/>
        <v>51873.36</v>
      </c>
      <c r="CZ195">
        <f t="shared" si="16"/>
        <v>12936</v>
      </c>
      <c r="DA195">
        <f t="shared" si="17"/>
        <v>4.01</v>
      </c>
      <c r="DB195">
        <v>0</v>
      </c>
    </row>
    <row r="196" spans="1:106">
      <c r="A196">
        <f>ROW(Source!A92)</f>
        <v>92</v>
      </c>
      <c r="B196">
        <v>48370320</v>
      </c>
      <c r="C196">
        <v>48371579</v>
      </c>
      <c r="D196">
        <v>37730106</v>
      </c>
      <c r="E196">
        <v>1</v>
      </c>
      <c r="F196">
        <v>1</v>
      </c>
      <c r="G196">
        <v>1</v>
      </c>
      <c r="H196">
        <v>3</v>
      </c>
      <c r="I196" t="s">
        <v>786</v>
      </c>
      <c r="J196" t="s">
        <v>787</v>
      </c>
      <c r="K196" t="s">
        <v>788</v>
      </c>
      <c r="L196">
        <v>1296</v>
      </c>
      <c r="N196">
        <v>1002</v>
      </c>
      <c r="O196" t="s">
        <v>789</v>
      </c>
      <c r="P196" t="s">
        <v>789</v>
      </c>
      <c r="Q196">
        <v>1</v>
      </c>
      <c r="W196">
        <v>0</v>
      </c>
      <c r="X196">
        <v>387634607</v>
      </c>
      <c r="Y196">
        <v>32.4</v>
      </c>
      <c r="AA196">
        <v>241.6</v>
      </c>
      <c r="AB196">
        <v>0</v>
      </c>
      <c r="AC196">
        <v>0</v>
      </c>
      <c r="AD196">
        <v>0</v>
      </c>
      <c r="AE196">
        <v>47.56</v>
      </c>
      <c r="AF196">
        <v>0</v>
      </c>
      <c r="AG196">
        <v>0</v>
      </c>
      <c r="AH196">
        <v>0</v>
      </c>
      <c r="AI196">
        <v>5.08</v>
      </c>
      <c r="AJ196">
        <v>1</v>
      </c>
      <c r="AK196">
        <v>1</v>
      </c>
      <c r="AL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S196" t="s">
        <v>3</v>
      </c>
      <c r="AT196">
        <v>32.4</v>
      </c>
      <c r="AU196" t="s">
        <v>3</v>
      </c>
      <c r="AV196">
        <v>0</v>
      </c>
      <c r="AW196">
        <v>2</v>
      </c>
      <c r="AX196">
        <v>48371591</v>
      </c>
      <c r="AY196">
        <v>1</v>
      </c>
      <c r="AZ196">
        <v>0</v>
      </c>
      <c r="BA196">
        <v>197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Y196*Source!I92</f>
        <v>0.6804</v>
      </c>
      <c r="CY196">
        <f t="shared" si="15"/>
        <v>241.6</v>
      </c>
      <c r="CZ196">
        <f t="shared" si="16"/>
        <v>47.56</v>
      </c>
      <c r="DA196">
        <f t="shared" si="17"/>
        <v>5.08</v>
      </c>
      <c r="DB196">
        <v>0</v>
      </c>
    </row>
    <row r="197" spans="1:106">
      <c r="A197">
        <f>ROW(Source!A92)</f>
        <v>92</v>
      </c>
      <c r="B197">
        <v>48370320</v>
      </c>
      <c r="C197">
        <v>48371579</v>
      </c>
      <c r="D197">
        <v>37737435</v>
      </c>
      <c r="E197">
        <v>1</v>
      </c>
      <c r="F197">
        <v>1</v>
      </c>
      <c r="G197">
        <v>1</v>
      </c>
      <c r="H197">
        <v>3</v>
      </c>
      <c r="I197" t="s">
        <v>790</v>
      </c>
      <c r="J197" t="s">
        <v>791</v>
      </c>
      <c r="K197" t="s">
        <v>792</v>
      </c>
      <c r="L197">
        <v>1035</v>
      </c>
      <c r="N197">
        <v>1013</v>
      </c>
      <c r="O197" t="s">
        <v>255</v>
      </c>
      <c r="P197" t="s">
        <v>255</v>
      </c>
      <c r="Q197">
        <v>1</v>
      </c>
      <c r="W197">
        <v>0</v>
      </c>
      <c r="X197">
        <v>1625264712</v>
      </c>
      <c r="Y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1</v>
      </c>
      <c r="AO197">
        <v>0</v>
      </c>
      <c r="AP197">
        <v>0</v>
      </c>
      <c r="AQ197">
        <v>0</v>
      </c>
      <c r="AR197">
        <v>0</v>
      </c>
      <c r="AS197" t="s">
        <v>3</v>
      </c>
      <c r="AT197">
        <v>0</v>
      </c>
      <c r="AU197" t="s">
        <v>3</v>
      </c>
      <c r="AV197">
        <v>0</v>
      </c>
      <c r="AW197">
        <v>2</v>
      </c>
      <c r="AX197">
        <v>48371592</v>
      </c>
      <c r="AY197">
        <v>1</v>
      </c>
      <c r="AZ197">
        <v>0</v>
      </c>
      <c r="BA197">
        <v>198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Y197*Source!I92</f>
        <v>0</v>
      </c>
      <c r="CY197">
        <f t="shared" si="15"/>
        <v>0</v>
      </c>
      <c r="CZ197">
        <f t="shared" si="16"/>
        <v>0</v>
      </c>
      <c r="DA197">
        <f t="shared" si="17"/>
        <v>1</v>
      </c>
      <c r="DB197">
        <v>0</v>
      </c>
    </row>
    <row r="198" spans="1:106">
      <c r="A198">
        <f>ROW(Source!A92)</f>
        <v>92</v>
      </c>
      <c r="B198">
        <v>48370320</v>
      </c>
      <c r="C198">
        <v>48371579</v>
      </c>
      <c r="D198">
        <v>37738205</v>
      </c>
      <c r="E198">
        <v>1</v>
      </c>
      <c r="F198">
        <v>1</v>
      </c>
      <c r="G198">
        <v>1</v>
      </c>
      <c r="H198">
        <v>3</v>
      </c>
      <c r="I198" t="s">
        <v>793</v>
      </c>
      <c r="J198" t="s">
        <v>794</v>
      </c>
      <c r="K198" t="s">
        <v>795</v>
      </c>
      <c r="L198">
        <v>1339</v>
      </c>
      <c r="N198">
        <v>1007</v>
      </c>
      <c r="O198" t="s">
        <v>543</v>
      </c>
      <c r="P198" t="s">
        <v>543</v>
      </c>
      <c r="Q198">
        <v>1</v>
      </c>
      <c r="W198">
        <v>0</v>
      </c>
      <c r="X198">
        <v>-222398320</v>
      </c>
      <c r="Y198">
        <v>0.08</v>
      </c>
      <c r="AA198">
        <v>5225.54</v>
      </c>
      <c r="AB198">
        <v>0</v>
      </c>
      <c r="AC198">
        <v>0</v>
      </c>
      <c r="AD198">
        <v>0</v>
      </c>
      <c r="AE198">
        <v>919.99</v>
      </c>
      <c r="AF198">
        <v>0</v>
      </c>
      <c r="AG198">
        <v>0</v>
      </c>
      <c r="AH198">
        <v>0</v>
      </c>
      <c r="AI198">
        <v>5.68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3</v>
      </c>
      <c r="AT198">
        <v>0.08</v>
      </c>
      <c r="AU198" t="s">
        <v>3</v>
      </c>
      <c r="AV198">
        <v>0</v>
      </c>
      <c r="AW198">
        <v>2</v>
      </c>
      <c r="AX198">
        <v>48371593</v>
      </c>
      <c r="AY198">
        <v>1</v>
      </c>
      <c r="AZ198">
        <v>0</v>
      </c>
      <c r="BA198">
        <v>199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Y198*Source!I92</f>
        <v>1.6800000000000001E-3</v>
      </c>
      <c r="CY198">
        <f t="shared" si="15"/>
        <v>5225.54</v>
      </c>
      <c r="CZ198">
        <f t="shared" si="16"/>
        <v>919.99</v>
      </c>
      <c r="DA198">
        <f t="shared" si="17"/>
        <v>5.68</v>
      </c>
      <c r="DB198">
        <v>0</v>
      </c>
    </row>
    <row r="199" spans="1:106">
      <c r="A199">
        <f>ROW(Source!A92)</f>
        <v>92</v>
      </c>
      <c r="B199">
        <v>48370320</v>
      </c>
      <c r="C199">
        <v>48371579</v>
      </c>
      <c r="D199">
        <v>37752537</v>
      </c>
      <c r="E199">
        <v>1</v>
      </c>
      <c r="F199">
        <v>1</v>
      </c>
      <c r="G199">
        <v>1</v>
      </c>
      <c r="H199">
        <v>3</v>
      </c>
      <c r="I199" t="s">
        <v>245</v>
      </c>
      <c r="J199" t="s">
        <v>247</v>
      </c>
      <c r="K199" t="s">
        <v>246</v>
      </c>
      <c r="L199">
        <v>1327</v>
      </c>
      <c r="N199">
        <v>1005</v>
      </c>
      <c r="O199" t="s">
        <v>189</v>
      </c>
      <c r="P199" t="s">
        <v>189</v>
      </c>
      <c r="Q199">
        <v>1</v>
      </c>
      <c r="W199">
        <v>1</v>
      </c>
      <c r="X199">
        <v>2099777272</v>
      </c>
      <c r="Y199">
        <v>-100</v>
      </c>
      <c r="AA199">
        <v>1318.48</v>
      </c>
      <c r="AB199">
        <v>0</v>
      </c>
      <c r="AC199">
        <v>0</v>
      </c>
      <c r="AD199">
        <v>0</v>
      </c>
      <c r="AE199">
        <v>208.29</v>
      </c>
      <c r="AF199">
        <v>0</v>
      </c>
      <c r="AG199">
        <v>0</v>
      </c>
      <c r="AH199">
        <v>0</v>
      </c>
      <c r="AI199">
        <v>6.33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0</v>
      </c>
      <c r="AQ199">
        <v>0</v>
      </c>
      <c r="AR199">
        <v>0</v>
      </c>
      <c r="AS199" t="s">
        <v>3</v>
      </c>
      <c r="AT199">
        <v>-100</v>
      </c>
      <c r="AU199" t="s">
        <v>3</v>
      </c>
      <c r="AV199">
        <v>0</v>
      </c>
      <c r="AW199">
        <v>2</v>
      </c>
      <c r="AX199">
        <v>48371594</v>
      </c>
      <c r="AY199">
        <v>1</v>
      </c>
      <c r="AZ199">
        <v>6144</v>
      </c>
      <c r="BA199">
        <v>200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Y199*Source!I92</f>
        <v>-2.1</v>
      </c>
      <c r="CY199">
        <f t="shared" si="15"/>
        <v>1318.48</v>
      </c>
      <c r="CZ199">
        <f t="shared" si="16"/>
        <v>208.29</v>
      </c>
      <c r="DA199">
        <f t="shared" si="17"/>
        <v>6.33</v>
      </c>
      <c r="DB199">
        <v>0</v>
      </c>
    </row>
    <row r="200" spans="1:106">
      <c r="A200">
        <f>ROW(Source!A92)</f>
        <v>92</v>
      </c>
      <c r="B200">
        <v>48370320</v>
      </c>
      <c r="C200">
        <v>48371579</v>
      </c>
      <c r="D200">
        <v>37768070</v>
      </c>
      <c r="E200">
        <v>1</v>
      </c>
      <c r="F200">
        <v>1</v>
      </c>
      <c r="G200">
        <v>1</v>
      </c>
      <c r="H200">
        <v>3</v>
      </c>
      <c r="I200" t="s">
        <v>796</v>
      </c>
      <c r="J200" t="s">
        <v>797</v>
      </c>
      <c r="K200" t="s">
        <v>798</v>
      </c>
      <c r="L200">
        <v>1339</v>
      </c>
      <c r="N200">
        <v>1007</v>
      </c>
      <c r="O200" t="s">
        <v>543</v>
      </c>
      <c r="P200" t="s">
        <v>543</v>
      </c>
      <c r="Q200">
        <v>1</v>
      </c>
      <c r="W200">
        <v>0</v>
      </c>
      <c r="X200">
        <v>523688817</v>
      </c>
      <c r="Y200">
        <v>0.105</v>
      </c>
      <c r="AA200">
        <v>2682</v>
      </c>
      <c r="AB200">
        <v>0</v>
      </c>
      <c r="AC200">
        <v>0</v>
      </c>
      <c r="AD200">
        <v>0</v>
      </c>
      <c r="AE200">
        <v>360</v>
      </c>
      <c r="AF200">
        <v>0</v>
      </c>
      <c r="AG200">
        <v>0</v>
      </c>
      <c r="AH200">
        <v>0</v>
      </c>
      <c r="AI200">
        <v>7.45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3</v>
      </c>
      <c r="AT200">
        <v>0.105</v>
      </c>
      <c r="AU200" t="s">
        <v>3</v>
      </c>
      <c r="AV200">
        <v>0</v>
      </c>
      <c r="AW200">
        <v>2</v>
      </c>
      <c r="AX200">
        <v>48371595</v>
      </c>
      <c r="AY200">
        <v>1</v>
      </c>
      <c r="AZ200">
        <v>0</v>
      </c>
      <c r="BA200">
        <v>201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Y200*Source!I92</f>
        <v>2.2049999999999999E-3</v>
      </c>
      <c r="CY200">
        <f t="shared" si="15"/>
        <v>2682</v>
      </c>
      <c r="CZ200">
        <f t="shared" si="16"/>
        <v>360</v>
      </c>
      <c r="DA200">
        <f t="shared" si="17"/>
        <v>7.45</v>
      </c>
      <c r="DB200">
        <v>0</v>
      </c>
    </row>
    <row r="201" spans="1:106">
      <c r="A201">
        <f>ROW(Source!A92)</f>
        <v>92</v>
      </c>
      <c r="B201">
        <v>48370320</v>
      </c>
      <c r="C201">
        <v>48371579</v>
      </c>
      <c r="D201">
        <v>37777026</v>
      </c>
      <c r="E201">
        <v>1</v>
      </c>
      <c r="F201">
        <v>1</v>
      </c>
      <c r="G201">
        <v>1</v>
      </c>
      <c r="H201">
        <v>3</v>
      </c>
      <c r="I201" t="s">
        <v>645</v>
      </c>
      <c r="J201" t="s">
        <v>646</v>
      </c>
      <c r="K201" t="s">
        <v>647</v>
      </c>
      <c r="L201">
        <v>1348</v>
      </c>
      <c r="N201">
        <v>1009</v>
      </c>
      <c r="O201" t="s">
        <v>536</v>
      </c>
      <c r="P201" t="s">
        <v>536</v>
      </c>
      <c r="Q201">
        <v>1000</v>
      </c>
      <c r="W201">
        <v>0</v>
      </c>
      <c r="X201">
        <v>-1829182015</v>
      </c>
      <c r="Y201">
        <v>1.6E-2</v>
      </c>
      <c r="AA201">
        <v>4138.99</v>
      </c>
      <c r="AB201">
        <v>0</v>
      </c>
      <c r="AC201">
        <v>0</v>
      </c>
      <c r="AD201">
        <v>0</v>
      </c>
      <c r="AE201">
        <v>729.98</v>
      </c>
      <c r="AF201">
        <v>0</v>
      </c>
      <c r="AG201">
        <v>0</v>
      </c>
      <c r="AH201">
        <v>0</v>
      </c>
      <c r="AI201">
        <v>5.67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3</v>
      </c>
      <c r="AT201">
        <v>1.6E-2</v>
      </c>
      <c r="AU201" t="s">
        <v>3</v>
      </c>
      <c r="AV201">
        <v>0</v>
      </c>
      <c r="AW201">
        <v>2</v>
      </c>
      <c r="AX201">
        <v>48371596</v>
      </c>
      <c r="AY201">
        <v>1</v>
      </c>
      <c r="AZ201">
        <v>0</v>
      </c>
      <c r="BA201">
        <v>202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Y201*Source!I92</f>
        <v>3.3600000000000004E-4</v>
      </c>
      <c r="CY201">
        <f t="shared" si="15"/>
        <v>4138.99</v>
      </c>
      <c r="CZ201">
        <f t="shared" si="16"/>
        <v>729.98</v>
      </c>
      <c r="DA201">
        <f t="shared" si="17"/>
        <v>5.67</v>
      </c>
      <c r="DB201">
        <v>0</v>
      </c>
    </row>
    <row r="202" spans="1:106">
      <c r="A202">
        <f>ROW(Source!A96)</f>
        <v>96</v>
      </c>
      <c r="B202">
        <v>48370320</v>
      </c>
      <c r="C202">
        <v>48371619</v>
      </c>
      <c r="D202">
        <v>23131263</v>
      </c>
      <c r="E202">
        <v>1</v>
      </c>
      <c r="F202">
        <v>1</v>
      </c>
      <c r="G202">
        <v>1</v>
      </c>
      <c r="H202">
        <v>1</v>
      </c>
      <c r="I202" t="s">
        <v>799</v>
      </c>
      <c r="J202" t="s">
        <v>3</v>
      </c>
      <c r="K202" t="s">
        <v>800</v>
      </c>
      <c r="L202">
        <v>1369</v>
      </c>
      <c r="N202">
        <v>1013</v>
      </c>
      <c r="O202" t="s">
        <v>510</v>
      </c>
      <c r="P202" t="s">
        <v>510</v>
      </c>
      <c r="Q202">
        <v>1</v>
      </c>
      <c r="W202">
        <v>0</v>
      </c>
      <c r="X202">
        <v>920778480</v>
      </c>
      <c r="Y202">
        <v>8.9930000000000003</v>
      </c>
      <c r="AA202">
        <v>0</v>
      </c>
      <c r="AB202">
        <v>0</v>
      </c>
      <c r="AC202">
        <v>0</v>
      </c>
      <c r="AD202">
        <v>7.63</v>
      </c>
      <c r="AE202">
        <v>0</v>
      </c>
      <c r="AF202">
        <v>0</v>
      </c>
      <c r="AG202">
        <v>0</v>
      </c>
      <c r="AH202">
        <v>7.63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1</v>
      </c>
      <c r="AQ202">
        <v>0</v>
      </c>
      <c r="AR202">
        <v>0</v>
      </c>
      <c r="AS202" t="s">
        <v>3</v>
      </c>
      <c r="AT202">
        <v>7.82</v>
      </c>
      <c r="AU202" t="s">
        <v>161</v>
      </c>
      <c r="AV202">
        <v>1</v>
      </c>
      <c r="AW202">
        <v>2</v>
      </c>
      <c r="AX202">
        <v>48371620</v>
      </c>
      <c r="AY202">
        <v>1</v>
      </c>
      <c r="AZ202">
        <v>0</v>
      </c>
      <c r="BA202">
        <v>203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Y202*Source!I96</f>
        <v>0.467636</v>
      </c>
      <c r="CY202">
        <f>AD202</f>
        <v>7.63</v>
      </c>
      <c r="CZ202">
        <f>AH202</f>
        <v>7.63</v>
      </c>
      <c r="DA202">
        <f>AL202</f>
        <v>1</v>
      </c>
      <c r="DB202">
        <v>0</v>
      </c>
    </row>
    <row r="203" spans="1:106">
      <c r="A203">
        <f>ROW(Source!A96)</f>
        <v>96</v>
      </c>
      <c r="B203">
        <v>48370320</v>
      </c>
      <c r="C203">
        <v>48371619</v>
      </c>
      <c r="D203">
        <v>37804456</v>
      </c>
      <c r="E203">
        <v>1</v>
      </c>
      <c r="F203">
        <v>1</v>
      </c>
      <c r="G203">
        <v>1</v>
      </c>
      <c r="H203">
        <v>2</v>
      </c>
      <c r="I203" t="s">
        <v>530</v>
      </c>
      <c r="J203" t="s">
        <v>531</v>
      </c>
      <c r="K203" t="s">
        <v>532</v>
      </c>
      <c r="L203">
        <v>1368</v>
      </c>
      <c r="N203">
        <v>1011</v>
      </c>
      <c r="O203" t="s">
        <v>516</v>
      </c>
      <c r="P203" t="s">
        <v>516</v>
      </c>
      <c r="Q203">
        <v>1</v>
      </c>
      <c r="W203">
        <v>0</v>
      </c>
      <c r="X203">
        <v>-671646184</v>
      </c>
      <c r="Y203">
        <v>0.05</v>
      </c>
      <c r="AA203">
        <v>0</v>
      </c>
      <c r="AB203">
        <v>844.19</v>
      </c>
      <c r="AC203">
        <v>216.11</v>
      </c>
      <c r="AD203">
        <v>0</v>
      </c>
      <c r="AE203">
        <v>0</v>
      </c>
      <c r="AF203">
        <v>91.76</v>
      </c>
      <c r="AG203">
        <v>10.35</v>
      </c>
      <c r="AH203">
        <v>0</v>
      </c>
      <c r="AI203">
        <v>1</v>
      </c>
      <c r="AJ203">
        <v>9.1999999999999993</v>
      </c>
      <c r="AK203">
        <v>20.88</v>
      </c>
      <c r="AL203">
        <v>1</v>
      </c>
      <c r="AN203">
        <v>0</v>
      </c>
      <c r="AO203">
        <v>1</v>
      </c>
      <c r="AP203">
        <v>1</v>
      </c>
      <c r="AQ203">
        <v>0</v>
      </c>
      <c r="AR203">
        <v>0</v>
      </c>
      <c r="AS203" t="s">
        <v>3</v>
      </c>
      <c r="AT203">
        <v>0.04</v>
      </c>
      <c r="AU203" t="s">
        <v>160</v>
      </c>
      <c r="AV203">
        <v>0</v>
      </c>
      <c r="AW203">
        <v>2</v>
      </c>
      <c r="AX203">
        <v>48371621</v>
      </c>
      <c r="AY203">
        <v>1</v>
      </c>
      <c r="AZ203">
        <v>0</v>
      </c>
      <c r="BA203">
        <v>204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Y203*Source!I96</f>
        <v>2.5999999999999999E-3</v>
      </c>
      <c r="CY203">
        <f>AB203</f>
        <v>844.19</v>
      </c>
      <c r="CZ203">
        <f>AF203</f>
        <v>91.76</v>
      </c>
      <c r="DA203">
        <f>AJ203</f>
        <v>9.1999999999999993</v>
      </c>
      <c r="DB203">
        <v>0</v>
      </c>
    </row>
    <row r="204" spans="1:106">
      <c r="A204">
        <f>ROW(Source!A96)</f>
        <v>96</v>
      </c>
      <c r="B204">
        <v>48370320</v>
      </c>
      <c r="C204">
        <v>48371619</v>
      </c>
      <c r="D204">
        <v>37736933</v>
      </c>
      <c r="E204">
        <v>1</v>
      </c>
      <c r="F204">
        <v>1</v>
      </c>
      <c r="G204">
        <v>1</v>
      </c>
      <c r="H204">
        <v>3</v>
      </c>
      <c r="I204" t="s">
        <v>783</v>
      </c>
      <c r="J204" t="s">
        <v>784</v>
      </c>
      <c r="K204" t="s">
        <v>785</v>
      </c>
      <c r="L204">
        <v>1348</v>
      </c>
      <c r="N204">
        <v>1009</v>
      </c>
      <c r="O204" t="s">
        <v>536</v>
      </c>
      <c r="P204" t="s">
        <v>536</v>
      </c>
      <c r="Q204">
        <v>1000</v>
      </c>
      <c r="W204">
        <v>0</v>
      </c>
      <c r="X204">
        <v>-667930777</v>
      </c>
      <c r="Y204">
        <v>7.1000000000000002E-4</v>
      </c>
      <c r="AA204">
        <v>51873.36</v>
      </c>
      <c r="AB204">
        <v>0</v>
      </c>
      <c r="AC204">
        <v>0</v>
      </c>
      <c r="AD204">
        <v>0</v>
      </c>
      <c r="AE204">
        <v>12936</v>
      </c>
      <c r="AF204">
        <v>0</v>
      </c>
      <c r="AG204">
        <v>0</v>
      </c>
      <c r="AH204">
        <v>0</v>
      </c>
      <c r="AI204">
        <v>4.01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S204" t="s">
        <v>3</v>
      </c>
      <c r="AT204">
        <v>7.1000000000000002E-4</v>
      </c>
      <c r="AU204" t="s">
        <v>3</v>
      </c>
      <c r="AV204">
        <v>0</v>
      </c>
      <c r="AW204">
        <v>2</v>
      </c>
      <c r="AX204">
        <v>48371622</v>
      </c>
      <c r="AY204">
        <v>1</v>
      </c>
      <c r="AZ204">
        <v>0</v>
      </c>
      <c r="BA204">
        <v>205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Y204*Source!I96</f>
        <v>3.6919999999999999E-5</v>
      </c>
      <c r="CY204">
        <f>AA204</f>
        <v>51873.36</v>
      </c>
      <c r="CZ204">
        <f>AE204</f>
        <v>12936</v>
      </c>
      <c r="DA204">
        <f>AI204</f>
        <v>4.01</v>
      </c>
      <c r="DB204">
        <v>0</v>
      </c>
    </row>
    <row r="205" spans="1:106">
      <c r="A205">
        <f>ROW(Source!A96)</f>
        <v>96</v>
      </c>
      <c r="B205">
        <v>48370320</v>
      </c>
      <c r="C205">
        <v>48371619</v>
      </c>
      <c r="D205">
        <v>37752953</v>
      </c>
      <c r="E205">
        <v>1</v>
      </c>
      <c r="F205">
        <v>1</v>
      </c>
      <c r="G205">
        <v>1</v>
      </c>
      <c r="H205">
        <v>3</v>
      </c>
      <c r="I205" t="s">
        <v>801</v>
      </c>
      <c r="J205" t="s">
        <v>802</v>
      </c>
      <c r="K205" t="s">
        <v>803</v>
      </c>
      <c r="L205">
        <v>1301</v>
      </c>
      <c r="N205">
        <v>1003</v>
      </c>
      <c r="O205" t="s">
        <v>208</v>
      </c>
      <c r="P205" t="s">
        <v>208</v>
      </c>
      <c r="Q205">
        <v>1</v>
      </c>
      <c r="W205">
        <v>0</v>
      </c>
      <c r="X205">
        <v>-1952606436</v>
      </c>
      <c r="Y205">
        <v>112</v>
      </c>
      <c r="AA205">
        <v>49.3</v>
      </c>
      <c r="AB205">
        <v>0</v>
      </c>
      <c r="AC205">
        <v>0</v>
      </c>
      <c r="AD205">
        <v>0</v>
      </c>
      <c r="AE205">
        <v>3.96</v>
      </c>
      <c r="AF205">
        <v>0</v>
      </c>
      <c r="AG205">
        <v>0</v>
      </c>
      <c r="AH205">
        <v>0</v>
      </c>
      <c r="AI205">
        <v>12.45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S205" t="s">
        <v>3</v>
      </c>
      <c r="AT205">
        <v>112</v>
      </c>
      <c r="AU205" t="s">
        <v>3</v>
      </c>
      <c r="AV205">
        <v>0</v>
      </c>
      <c r="AW205">
        <v>2</v>
      </c>
      <c r="AX205">
        <v>48371623</v>
      </c>
      <c r="AY205">
        <v>1</v>
      </c>
      <c r="AZ205">
        <v>0</v>
      </c>
      <c r="BA205">
        <v>206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Y205*Source!I96</f>
        <v>5.8239999999999998</v>
      </c>
      <c r="CY205">
        <f>AA205</f>
        <v>49.3</v>
      </c>
      <c r="CZ205">
        <f>AE205</f>
        <v>3.96</v>
      </c>
      <c r="DA205">
        <f>AI205</f>
        <v>12.45</v>
      </c>
      <c r="DB205">
        <v>0</v>
      </c>
    </row>
    <row r="206" spans="1:106">
      <c r="A206">
        <f>ROW(Source!A97)</f>
        <v>97</v>
      </c>
      <c r="B206">
        <v>48370320</v>
      </c>
      <c r="C206">
        <v>48371632</v>
      </c>
      <c r="D206">
        <v>23146426</v>
      </c>
      <c r="E206">
        <v>1</v>
      </c>
      <c r="F206">
        <v>1</v>
      </c>
      <c r="G206">
        <v>1</v>
      </c>
      <c r="H206">
        <v>1</v>
      </c>
      <c r="I206" t="s">
        <v>569</v>
      </c>
      <c r="J206" t="s">
        <v>3</v>
      </c>
      <c r="K206" t="s">
        <v>570</v>
      </c>
      <c r="L206">
        <v>1369</v>
      </c>
      <c r="N206">
        <v>1013</v>
      </c>
      <c r="O206" t="s">
        <v>510</v>
      </c>
      <c r="P206" t="s">
        <v>510</v>
      </c>
      <c r="Q206">
        <v>1</v>
      </c>
      <c r="W206">
        <v>0</v>
      </c>
      <c r="X206">
        <v>-348873804</v>
      </c>
      <c r="Y206">
        <v>1.2765</v>
      </c>
      <c r="AA206">
        <v>0</v>
      </c>
      <c r="AB206">
        <v>0</v>
      </c>
      <c r="AC206">
        <v>0</v>
      </c>
      <c r="AD206">
        <v>9.27</v>
      </c>
      <c r="AE206">
        <v>0</v>
      </c>
      <c r="AF206">
        <v>0</v>
      </c>
      <c r="AG206">
        <v>0</v>
      </c>
      <c r="AH206">
        <v>9.27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1</v>
      </c>
      <c r="AQ206">
        <v>0</v>
      </c>
      <c r="AR206">
        <v>0</v>
      </c>
      <c r="AS206" t="s">
        <v>3</v>
      </c>
      <c r="AT206">
        <v>1.1100000000000001</v>
      </c>
      <c r="AU206" t="s">
        <v>161</v>
      </c>
      <c r="AV206">
        <v>1</v>
      </c>
      <c r="AW206">
        <v>2</v>
      </c>
      <c r="AX206">
        <v>48371633</v>
      </c>
      <c r="AY206">
        <v>1</v>
      </c>
      <c r="AZ206">
        <v>0</v>
      </c>
      <c r="BA206">
        <v>207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Y206*Source!I97</f>
        <v>1.2765</v>
      </c>
      <c r="CY206">
        <f>AD206</f>
        <v>9.27</v>
      </c>
      <c r="CZ206">
        <f>AH206</f>
        <v>9.27</v>
      </c>
      <c r="DA206">
        <f>AL206</f>
        <v>1</v>
      </c>
      <c r="DB206">
        <v>0</v>
      </c>
    </row>
    <row r="207" spans="1:106">
      <c r="A207">
        <f>ROW(Source!A97)</f>
        <v>97</v>
      </c>
      <c r="B207">
        <v>48370320</v>
      </c>
      <c r="C207">
        <v>48371632</v>
      </c>
      <c r="D207">
        <v>37802657</v>
      </c>
      <c r="E207">
        <v>1</v>
      </c>
      <c r="F207">
        <v>1</v>
      </c>
      <c r="G207">
        <v>1</v>
      </c>
      <c r="H207">
        <v>2</v>
      </c>
      <c r="I207" t="s">
        <v>527</v>
      </c>
      <c r="J207" t="s">
        <v>528</v>
      </c>
      <c r="K207" t="s">
        <v>529</v>
      </c>
      <c r="L207">
        <v>1368</v>
      </c>
      <c r="N207">
        <v>1011</v>
      </c>
      <c r="O207" t="s">
        <v>516</v>
      </c>
      <c r="P207" t="s">
        <v>516</v>
      </c>
      <c r="Q207">
        <v>1</v>
      </c>
      <c r="W207">
        <v>0</v>
      </c>
      <c r="X207">
        <v>1084334125</v>
      </c>
      <c r="Y207">
        <v>0.32500000000000001</v>
      </c>
      <c r="AA207">
        <v>0</v>
      </c>
      <c r="AB207">
        <v>46.89</v>
      </c>
      <c r="AC207">
        <v>0</v>
      </c>
      <c r="AD207">
        <v>0</v>
      </c>
      <c r="AE207">
        <v>0</v>
      </c>
      <c r="AF207">
        <v>7.55</v>
      </c>
      <c r="AG207">
        <v>0</v>
      </c>
      <c r="AH207">
        <v>0</v>
      </c>
      <c r="AI207">
        <v>1</v>
      </c>
      <c r="AJ207">
        <v>6.21</v>
      </c>
      <c r="AK207">
        <v>20.88</v>
      </c>
      <c r="AL207">
        <v>1</v>
      </c>
      <c r="AN207">
        <v>0</v>
      </c>
      <c r="AO207">
        <v>1</v>
      </c>
      <c r="AP207">
        <v>1</v>
      </c>
      <c r="AQ207">
        <v>0</v>
      </c>
      <c r="AR207">
        <v>0</v>
      </c>
      <c r="AS207" t="s">
        <v>3</v>
      </c>
      <c r="AT207">
        <v>0.26</v>
      </c>
      <c r="AU207" t="s">
        <v>160</v>
      </c>
      <c r="AV207">
        <v>0</v>
      </c>
      <c r="AW207">
        <v>2</v>
      </c>
      <c r="AX207">
        <v>48371634</v>
      </c>
      <c r="AY207">
        <v>1</v>
      </c>
      <c r="AZ207">
        <v>0</v>
      </c>
      <c r="BA207">
        <v>208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Y207*Source!I97</f>
        <v>0.32500000000000001</v>
      </c>
      <c r="CY207">
        <f>AB207</f>
        <v>46.89</v>
      </c>
      <c r="CZ207">
        <f>AF207</f>
        <v>7.55</v>
      </c>
      <c r="DA207">
        <f>AJ207</f>
        <v>6.21</v>
      </c>
      <c r="DB207">
        <v>0</v>
      </c>
    </row>
    <row r="208" spans="1:106">
      <c r="A208">
        <f>ROW(Source!A97)</f>
        <v>97</v>
      </c>
      <c r="B208">
        <v>48370320</v>
      </c>
      <c r="C208">
        <v>48371632</v>
      </c>
      <c r="D208">
        <v>37803303</v>
      </c>
      <c r="E208">
        <v>1</v>
      </c>
      <c r="F208">
        <v>1</v>
      </c>
      <c r="G208">
        <v>1</v>
      </c>
      <c r="H208">
        <v>2</v>
      </c>
      <c r="I208" t="s">
        <v>804</v>
      </c>
      <c r="J208" t="s">
        <v>805</v>
      </c>
      <c r="K208" t="s">
        <v>806</v>
      </c>
      <c r="L208">
        <v>1368</v>
      </c>
      <c r="N208">
        <v>1011</v>
      </c>
      <c r="O208" t="s">
        <v>516</v>
      </c>
      <c r="P208" t="s">
        <v>516</v>
      </c>
      <c r="Q208">
        <v>1</v>
      </c>
      <c r="W208">
        <v>0</v>
      </c>
      <c r="X208">
        <v>325281995</v>
      </c>
      <c r="Y208">
        <v>0.1875</v>
      </c>
      <c r="AA208">
        <v>0</v>
      </c>
      <c r="AB208">
        <v>12</v>
      </c>
      <c r="AC208">
        <v>0</v>
      </c>
      <c r="AD208">
        <v>0</v>
      </c>
      <c r="AE208">
        <v>0</v>
      </c>
      <c r="AF208">
        <v>1.98</v>
      </c>
      <c r="AG208">
        <v>0</v>
      </c>
      <c r="AH208">
        <v>0</v>
      </c>
      <c r="AI208">
        <v>1</v>
      </c>
      <c r="AJ208">
        <v>6.06</v>
      </c>
      <c r="AK208">
        <v>20.88</v>
      </c>
      <c r="AL208">
        <v>1</v>
      </c>
      <c r="AN208">
        <v>0</v>
      </c>
      <c r="AO208">
        <v>1</v>
      </c>
      <c r="AP208">
        <v>1</v>
      </c>
      <c r="AQ208">
        <v>0</v>
      </c>
      <c r="AR208">
        <v>0</v>
      </c>
      <c r="AS208" t="s">
        <v>3</v>
      </c>
      <c r="AT208">
        <v>0.15</v>
      </c>
      <c r="AU208" t="s">
        <v>160</v>
      </c>
      <c r="AV208">
        <v>0</v>
      </c>
      <c r="AW208">
        <v>2</v>
      </c>
      <c r="AX208">
        <v>48371635</v>
      </c>
      <c r="AY208">
        <v>1</v>
      </c>
      <c r="AZ208">
        <v>0</v>
      </c>
      <c r="BA208">
        <v>209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Y208*Source!I97</f>
        <v>0.1875</v>
      </c>
      <c r="CY208">
        <f>AB208</f>
        <v>12</v>
      </c>
      <c r="CZ208">
        <f>AF208</f>
        <v>1.98</v>
      </c>
      <c r="DA208">
        <f>AJ208</f>
        <v>6.06</v>
      </c>
      <c r="DB208">
        <v>0</v>
      </c>
    </row>
    <row r="209" spans="1:106">
      <c r="A209">
        <f>ROW(Source!A97)</f>
        <v>97</v>
      </c>
      <c r="B209">
        <v>48370320</v>
      </c>
      <c r="C209">
        <v>48371632</v>
      </c>
      <c r="D209">
        <v>37804065</v>
      </c>
      <c r="E209">
        <v>1</v>
      </c>
      <c r="F209">
        <v>1</v>
      </c>
      <c r="G209">
        <v>1</v>
      </c>
      <c r="H209">
        <v>2</v>
      </c>
      <c r="I209" t="s">
        <v>690</v>
      </c>
      <c r="J209" t="s">
        <v>691</v>
      </c>
      <c r="K209" t="s">
        <v>692</v>
      </c>
      <c r="L209">
        <v>1368</v>
      </c>
      <c r="N209">
        <v>1011</v>
      </c>
      <c r="O209" t="s">
        <v>516</v>
      </c>
      <c r="P209" t="s">
        <v>516</v>
      </c>
      <c r="Q209">
        <v>1</v>
      </c>
      <c r="W209">
        <v>0</v>
      </c>
      <c r="X209">
        <v>835824343</v>
      </c>
      <c r="Y209">
        <v>0.13750000000000001</v>
      </c>
      <c r="AA209">
        <v>0</v>
      </c>
      <c r="AB209">
        <v>9.74</v>
      </c>
      <c r="AC209">
        <v>0</v>
      </c>
      <c r="AD209">
        <v>0</v>
      </c>
      <c r="AE209">
        <v>0</v>
      </c>
      <c r="AF209">
        <v>2.15</v>
      </c>
      <c r="AG209">
        <v>0</v>
      </c>
      <c r="AH209">
        <v>0</v>
      </c>
      <c r="AI209">
        <v>1</v>
      </c>
      <c r="AJ209">
        <v>4.53</v>
      </c>
      <c r="AK209">
        <v>20.88</v>
      </c>
      <c r="AL209">
        <v>1</v>
      </c>
      <c r="AN209">
        <v>0</v>
      </c>
      <c r="AO209">
        <v>1</v>
      </c>
      <c r="AP209">
        <v>1</v>
      </c>
      <c r="AQ209">
        <v>0</v>
      </c>
      <c r="AR209">
        <v>0</v>
      </c>
      <c r="AS209" t="s">
        <v>3</v>
      </c>
      <c r="AT209">
        <v>0.11</v>
      </c>
      <c r="AU209" t="s">
        <v>160</v>
      </c>
      <c r="AV209">
        <v>0</v>
      </c>
      <c r="AW209">
        <v>2</v>
      </c>
      <c r="AX209">
        <v>48371636</v>
      </c>
      <c r="AY209">
        <v>1</v>
      </c>
      <c r="AZ209">
        <v>0</v>
      </c>
      <c r="BA209">
        <v>210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Y209*Source!I97</f>
        <v>0.13750000000000001</v>
      </c>
      <c r="CY209">
        <f>AB209</f>
        <v>9.74</v>
      </c>
      <c r="CZ209">
        <f>AF209</f>
        <v>2.15</v>
      </c>
      <c r="DA209">
        <f>AJ209</f>
        <v>4.53</v>
      </c>
      <c r="DB209">
        <v>0</v>
      </c>
    </row>
    <row r="210" spans="1:106">
      <c r="A210">
        <f>ROW(Source!A97)</f>
        <v>97</v>
      </c>
      <c r="B210">
        <v>48370320</v>
      </c>
      <c r="C210">
        <v>48371632</v>
      </c>
      <c r="D210">
        <v>37804071</v>
      </c>
      <c r="E210">
        <v>1</v>
      </c>
      <c r="F210">
        <v>1</v>
      </c>
      <c r="G210">
        <v>1</v>
      </c>
      <c r="H210">
        <v>2</v>
      </c>
      <c r="I210" t="s">
        <v>807</v>
      </c>
      <c r="J210" t="s">
        <v>808</v>
      </c>
      <c r="K210" t="s">
        <v>809</v>
      </c>
      <c r="L210">
        <v>1368</v>
      </c>
      <c r="N210">
        <v>1011</v>
      </c>
      <c r="O210" t="s">
        <v>516</v>
      </c>
      <c r="P210" t="s">
        <v>516</v>
      </c>
      <c r="Q210">
        <v>1</v>
      </c>
      <c r="W210">
        <v>0</v>
      </c>
      <c r="X210">
        <v>254649463</v>
      </c>
      <c r="Y210">
        <v>2.5000000000000001E-2</v>
      </c>
      <c r="AA210">
        <v>0</v>
      </c>
      <c r="AB210">
        <v>20.95</v>
      </c>
      <c r="AC210">
        <v>0</v>
      </c>
      <c r="AD210">
        <v>0</v>
      </c>
      <c r="AE210">
        <v>0</v>
      </c>
      <c r="AF210">
        <v>5.4</v>
      </c>
      <c r="AG210">
        <v>0</v>
      </c>
      <c r="AH210">
        <v>0</v>
      </c>
      <c r="AI210">
        <v>1</v>
      </c>
      <c r="AJ210">
        <v>3.88</v>
      </c>
      <c r="AK210">
        <v>20.88</v>
      </c>
      <c r="AL210">
        <v>1</v>
      </c>
      <c r="AN210">
        <v>0</v>
      </c>
      <c r="AO210">
        <v>1</v>
      </c>
      <c r="AP210">
        <v>1</v>
      </c>
      <c r="AQ210">
        <v>0</v>
      </c>
      <c r="AR210">
        <v>0</v>
      </c>
      <c r="AS210" t="s">
        <v>3</v>
      </c>
      <c r="AT210">
        <v>0.02</v>
      </c>
      <c r="AU210" t="s">
        <v>160</v>
      </c>
      <c r="AV210">
        <v>0</v>
      </c>
      <c r="AW210">
        <v>2</v>
      </c>
      <c r="AX210">
        <v>48371637</v>
      </c>
      <c r="AY210">
        <v>1</v>
      </c>
      <c r="AZ210">
        <v>0</v>
      </c>
      <c r="BA210">
        <v>211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Y210*Source!I97</f>
        <v>2.5000000000000001E-2</v>
      </c>
      <c r="CY210">
        <f>AB210</f>
        <v>20.95</v>
      </c>
      <c r="CZ210">
        <f>AF210</f>
        <v>5.4</v>
      </c>
      <c r="DA210">
        <f>AJ210</f>
        <v>3.88</v>
      </c>
      <c r="DB210">
        <v>0</v>
      </c>
    </row>
    <row r="211" spans="1:106">
      <c r="A211">
        <f>ROW(Source!A97)</f>
        <v>97</v>
      </c>
      <c r="B211">
        <v>48370320</v>
      </c>
      <c r="C211">
        <v>48371632</v>
      </c>
      <c r="D211">
        <v>37736609</v>
      </c>
      <c r="E211">
        <v>1</v>
      </c>
      <c r="F211">
        <v>1</v>
      </c>
      <c r="G211">
        <v>1</v>
      </c>
      <c r="H211">
        <v>3</v>
      </c>
      <c r="I211" t="s">
        <v>810</v>
      </c>
      <c r="J211" t="s">
        <v>811</v>
      </c>
      <c r="K211" t="s">
        <v>812</v>
      </c>
      <c r="L211">
        <v>1348</v>
      </c>
      <c r="N211">
        <v>1009</v>
      </c>
      <c r="O211" t="s">
        <v>536</v>
      </c>
      <c r="P211" t="s">
        <v>536</v>
      </c>
      <c r="Q211">
        <v>1000</v>
      </c>
      <c r="W211">
        <v>0</v>
      </c>
      <c r="X211">
        <v>1483167196</v>
      </c>
      <c r="Y211">
        <v>6.9999999999999994E-5</v>
      </c>
      <c r="AA211">
        <v>52065</v>
      </c>
      <c r="AB211">
        <v>0</v>
      </c>
      <c r="AC211">
        <v>0</v>
      </c>
      <c r="AD211">
        <v>0</v>
      </c>
      <c r="AE211">
        <v>9750</v>
      </c>
      <c r="AF211">
        <v>0</v>
      </c>
      <c r="AG211">
        <v>0</v>
      </c>
      <c r="AH211">
        <v>0</v>
      </c>
      <c r="AI211">
        <v>5.34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S211" t="s">
        <v>3</v>
      </c>
      <c r="AT211">
        <v>6.9999999999999994E-5</v>
      </c>
      <c r="AU211" t="s">
        <v>3</v>
      </c>
      <c r="AV211">
        <v>0</v>
      </c>
      <c r="AW211">
        <v>2</v>
      </c>
      <c r="AX211">
        <v>48371638</v>
      </c>
      <c r="AY211">
        <v>1</v>
      </c>
      <c r="AZ211">
        <v>0</v>
      </c>
      <c r="BA211">
        <v>212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Y211*Source!I97</f>
        <v>6.9999999999999994E-5</v>
      </c>
      <c r="CY211">
        <f>AA211</f>
        <v>52065</v>
      </c>
      <c r="CZ211">
        <f>AE211</f>
        <v>9750</v>
      </c>
      <c r="DA211">
        <f>AI211</f>
        <v>5.34</v>
      </c>
      <c r="DB211">
        <v>0</v>
      </c>
    </row>
    <row r="212" spans="1:106">
      <c r="A212">
        <f>ROW(Source!A97)</f>
        <v>97</v>
      </c>
      <c r="B212">
        <v>48370320</v>
      </c>
      <c r="C212">
        <v>48371632</v>
      </c>
      <c r="D212">
        <v>37736903</v>
      </c>
      <c r="E212">
        <v>1</v>
      </c>
      <c r="F212">
        <v>1</v>
      </c>
      <c r="G212">
        <v>1</v>
      </c>
      <c r="H212">
        <v>3</v>
      </c>
      <c r="I212" t="s">
        <v>813</v>
      </c>
      <c r="J212" t="s">
        <v>814</v>
      </c>
      <c r="K212" t="s">
        <v>815</v>
      </c>
      <c r="L212">
        <v>1354</v>
      </c>
      <c r="N212">
        <v>1010</v>
      </c>
      <c r="O212" t="s">
        <v>220</v>
      </c>
      <c r="P212" t="s">
        <v>220</v>
      </c>
      <c r="Q212">
        <v>1</v>
      </c>
      <c r="W212">
        <v>0</v>
      </c>
      <c r="X212">
        <v>1261369641</v>
      </c>
      <c r="Y212">
        <v>8.0000000000000002E-3</v>
      </c>
      <c r="AA212">
        <v>0.88</v>
      </c>
      <c r="AB212">
        <v>0</v>
      </c>
      <c r="AC212">
        <v>0</v>
      </c>
      <c r="AD212">
        <v>0</v>
      </c>
      <c r="AE212">
        <v>0.2</v>
      </c>
      <c r="AF212">
        <v>0</v>
      </c>
      <c r="AG212">
        <v>0</v>
      </c>
      <c r="AH212">
        <v>0</v>
      </c>
      <c r="AI212">
        <v>4.4000000000000004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3</v>
      </c>
      <c r="AT212">
        <v>8.0000000000000002E-3</v>
      </c>
      <c r="AU212" t="s">
        <v>3</v>
      </c>
      <c r="AV212">
        <v>0</v>
      </c>
      <c r="AW212">
        <v>2</v>
      </c>
      <c r="AX212">
        <v>48371639</v>
      </c>
      <c r="AY212">
        <v>1</v>
      </c>
      <c r="AZ212">
        <v>0</v>
      </c>
      <c r="BA212">
        <v>213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Y212*Source!I97</f>
        <v>8.0000000000000002E-3</v>
      </c>
      <c r="CY212">
        <f>AA212</f>
        <v>0.88</v>
      </c>
      <c r="CZ212">
        <f>AE212</f>
        <v>0.2</v>
      </c>
      <c r="DA212">
        <f>AI212</f>
        <v>4.4000000000000004</v>
      </c>
      <c r="DB212">
        <v>0</v>
      </c>
    </row>
    <row r="213" spans="1:106">
      <c r="A213">
        <f>ROW(Source!A97)</f>
        <v>97</v>
      </c>
      <c r="B213">
        <v>48370320</v>
      </c>
      <c r="C213">
        <v>48371632</v>
      </c>
      <c r="D213">
        <v>37737435</v>
      </c>
      <c r="E213">
        <v>1</v>
      </c>
      <c r="F213">
        <v>1</v>
      </c>
      <c r="G213">
        <v>1</v>
      </c>
      <c r="H213">
        <v>3</v>
      </c>
      <c r="I213" t="s">
        <v>790</v>
      </c>
      <c r="J213" t="s">
        <v>791</v>
      </c>
      <c r="K213" t="s">
        <v>792</v>
      </c>
      <c r="L213">
        <v>1035</v>
      </c>
      <c r="N213">
        <v>1013</v>
      </c>
      <c r="O213" t="s">
        <v>255</v>
      </c>
      <c r="P213" t="s">
        <v>255</v>
      </c>
      <c r="Q213">
        <v>1</v>
      </c>
      <c r="W213">
        <v>0</v>
      </c>
      <c r="X213">
        <v>1625264712</v>
      </c>
      <c r="Y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1</v>
      </c>
      <c r="AO213">
        <v>0</v>
      </c>
      <c r="AP213">
        <v>0</v>
      </c>
      <c r="AQ213">
        <v>0</v>
      </c>
      <c r="AR213">
        <v>0</v>
      </c>
      <c r="AS213" t="s">
        <v>3</v>
      </c>
      <c r="AT213">
        <v>0</v>
      </c>
      <c r="AU213" t="s">
        <v>3</v>
      </c>
      <c r="AV213">
        <v>0</v>
      </c>
      <c r="AW213">
        <v>2</v>
      </c>
      <c r="AX213">
        <v>48371640</v>
      </c>
      <c r="AY213">
        <v>1</v>
      </c>
      <c r="AZ213">
        <v>0</v>
      </c>
      <c r="BA213">
        <v>214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Y213*Source!I97</f>
        <v>0</v>
      </c>
      <c r="CY213">
        <f>AA213</f>
        <v>0</v>
      </c>
      <c r="CZ213">
        <f>AE213</f>
        <v>0</v>
      </c>
      <c r="DA213">
        <f>AI213</f>
        <v>1</v>
      </c>
      <c r="DB213">
        <v>0</v>
      </c>
    </row>
    <row r="214" spans="1:106">
      <c r="A214">
        <f>ROW(Source!A99)</f>
        <v>99</v>
      </c>
      <c r="B214">
        <v>48370320</v>
      </c>
      <c r="C214">
        <v>48371663</v>
      </c>
      <c r="D214">
        <v>23135499</v>
      </c>
      <c r="E214">
        <v>1</v>
      </c>
      <c r="F214">
        <v>1</v>
      </c>
      <c r="G214">
        <v>1</v>
      </c>
      <c r="H214">
        <v>1</v>
      </c>
      <c r="I214" t="s">
        <v>623</v>
      </c>
      <c r="J214" t="s">
        <v>3</v>
      </c>
      <c r="K214" t="s">
        <v>624</v>
      </c>
      <c r="L214">
        <v>1369</v>
      </c>
      <c r="N214">
        <v>1013</v>
      </c>
      <c r="O214" t="s">
        <v>510</v>
      </c>
      <c r="P214" t="s">
        <v>510</v>
      </c>
      <c r="Q214">
        <v>1</v>
      </c>
      <c r="W214">
        <v>0</v>
      </c>
      <c r="X214">
        <v>-499460097</v>
      </c>
      <c r="Y214">
        <v>3.2199999999999998</v>
      </c>
      <c r="AA214">
        <v>0</v>
      </c>
      <c r="AB214">
        <v>0</v>
      </c>
      <c r="AC214">
        <v>0</v>
      </c>
      <c r="AD214">
        <v>8.99</v>
      </c>
      <c r="AE214">
        <v>0</v>
      </c>
      <c r="AF214">
        <v>0</v>
      </c>
      <c r="AG214">
        <v>0</v>
      </c>
      <c r="AH214">
        <v>8.99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1</v>
      </c>
      <c r="AQ214">
        <v>0</v>
      </c>
      <c r="AR214">
        <v>0</v>
      </c>
      <c r="AS214" t="s">
        <v>3</v>
      </c>
      <c r="AT214">
        <v>2.8</v>
      </c>
      <c r="AU214" t="s">
        <v>161</v>
      </c>
      <c r="AV214">
        <v>1</v>
      </c>
      <c r="AW214">
        <v>2</v>
      </c>
      <c r="AX214">
        <v>48371664</v>
      </c>
      <c r="AY214">
        <v>1</v>
      </c>
      <c r="AZ214">
        <v>0</v>
      </c>
      <c r="BA214">
        <v>215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Y214*Source!I99</f>
        <v>1.288</v>
      </c>
      <c r="CY214">
        <f>AD214</f>
        <v>8.99</v>
      </c>
      <c r="CZ214">
        <f>AH214</f>
        <v>8.99</v>
      </c>
      <c r="DA214">
        <f>AL214</f>
        <v>1</v>
      </c>
      <c r="DB214">
        <v>0</v>
      </c>
    </row>
    <row r="215" spans="1:106">
      <c r="A215">
        <f>ROW(Source!A99)</f>
        <v>99</v>
      </c>
      <c r="B215">
        <v>48370320</v>
      </c>
      <c r="C215">
        <v>48371663</v>
      </c>
      <c r="D215">
        <v>37804065</v>
      </c>
      <c r="E215">
        <v>1</v>
      </c>
      <c r="F215">
        <v>1</v>
      </c>
      <c r="G215">
        <v>1</v>
      </c>
      <c r="H215">
        <v>2</v>
      </c>
      <c r="I215" t="s">
        <v>690</v>
      </c>
      <c r="J215" t="s">
        <v>691</v>
      </c>
      <c r="K215" t="s">
        <v>692</v>
      </c>
      <c r="L215">
        <v>1368</v>
      </c>
      <c r="N215">
        <v>1011</v>
      </c>
      <c r="O215" t="s">
        <v>516</v>
      </c>
      <c r="P215" t="s">
        <v>516</v>
      </c>
      <c r="Q215">
        <v>1</v>
      </c>
      <c r="W215">
        <v>0</v>
      </c>
      <c r="X215">
        <v>835824343</v>
      </c>
      <c r="Y215">
        <v>0.125</v>
      </c>
      <c r="AA215">
        <v>0</v>
      </c>
      <c r="AB215">
        <v>9.74</v>
      </c>
      <c r="AC215">
        <v>0</v>
      </c>
      <c r="AD215">
        <v>0</v>
      </c>
      <c r="AE215">
        <v>0</v>
      </c>
      <c r="AF215">
        <v>2.15</v>
      </c>
      <c r="AG215">
        <v>0</v>
      </c>
      <c r="AH215">
        <v>0</v>
      </c>
      <c r="AI215">
        <v>1</v>
      </c>
      <c r="AJ215">
        <v>4.53</v>
      </c>
      <c r="AK215">
        <v>20.88</v>
      </c>
      <c r="AL215">
        <v>1</v>
      </c>
      <c r="AN215">
        <v>0</v>
      </c>
      <c r="AO215">
        <v>1</v>
      </c>
      <c r="AP215">
        <v>1</v>
      </c>
      <c r="AQ215">
        <v>0</v>
      </c>
      <c r="AR215">
        <v>0</v>
      </c>
      <c r="AS215" t="s">
        <v>3</v>
      </c>
      <c r="AT215">
        <v>0.1</v>
      </c>
      <c r="AU215" t="s">
        <v>160</v>
      </c>
      <c r="AV215">
        <v>0</v>
      </c>
      <c r="AW215">
        <v>2</v>
      </c>
      <c r="AX215">
        <v>48371665</v>
      </c>
      <c r="AY215">
        <v>1</v>
      </c>
      <c r="AZ215">
        <v>0</v>
      </c>
      <c r="BA215">
        <v>216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Y215*Source!I99</f>
        <v>0.05</v>
      </c>
      <c r="CY215">
        <f>AB215</f>
        <v>9.74</v>
      </c>
      <c r="CZ215">
        <f>AF215</f>
        <v>2.15</v>
      </c>
      <c r="DA215">
        <f>AJ215</f>
        <v>4.53</v>
      </c>
      <c r="DB215">
        <v>0</v>
      </c>
    </row>
    <row r="216" spans="1:106">
      <c r="A216">
        <f>ROW(Source!A99)</f>
        <v>99</v>
      </c>
      <c r="B216">
        <v>48370320</v>
      </c>
      <c r="C216">
        <v>48371663</v>
      </c>
      <c r="D216">
        <v>37735405</v>
      </c>
      <c r="E216">
        <v>1</v>
      </c>
      <c r="F216">
        <v>1</v>
      </c>
      <c r="G216">
        <v>1</v>
      </c>
      <c r="H216">
        <v>3</v>
      </c>
      <c r="I216" t="s">
        <v>729</v>
      </c>
      <c r="J216" t="s">
        <v>730</v>
      </c>
      <c r="K216" t="s">
        <v>731</v>
      </c>
      <c r="L216">
        <v>1348</v>
      </c>
      <c r="N216">
        <v>1009</v>
      </c>
      <c r="O216" t="s">
        <v>536</v>
      </c>
      <c r="P216" t="s">
        <v>536</v>
      </c>
      <c r="Q216">
        <v>1000</v>
      </c>
      <c r="W216">
        <v>0</v>
      </c>
      <c r="X216">
        <v>-2108161735</v>
      </c>
      <c r="Y216">
        <v>1E-4</v>
      </c>
      <c r="AA216">
        <v>35275.21</v>
      </c>
      <c r="AB216">
        <v>0</v>
      </c>
      <c r="AC216">
        <v>0</v>
      </c>
      <c r="AD216">
        <v>0</v>
      </c>
      <c r="AE216">
        <v>5989</v>
      </c>
      <c r="AF216">
        <v>0</v>
      </c>
      <c r="AG216">
        <v>0</v>
      </c>
      <c r="AH216">
        <v>0</v>
      </c>
      <c r="AI216">
        <v>5.89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S216" t="s">
        <v>3</v>
      </c>
      <c r="AT216">
        <v>1E-4</v>
      </c>
      <c r="AU216" t="s">
        <v>3</v>
      </c>
      <c r="AV216">
        <v>0</v>
      </c>
      <c r="AW216">
        <v>2</v>
      </c>
      <c r="AX216">
        <v>48371666</v>
      </c>
      <c r="AY216">
        <v>1</v>
      </c>
      <c r="AZ216">
        <v>0</v>
      </c>
      <c r="BA216">
        <v>217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Y216*Source!I99</f>
        <v>4.0000000000000003E-5</v>
      </c>
      <c r="CY216">
        <f>AA216</f>
        <v>35275.21</v>
      </c>
      <c r="CZ216">
        <f>AE216</f>
        <v>5989</v>
      </c>
      <c r="DA216">
        <f>AI216</f>
        <v>5.89</v>
      </c>
      <c r="DB216">
        <v>0</v>
      </c>
    </row>
    <row r="217" spans="1:106">
      <c r="A217">
        <f>ROW(Source!A99)</f>
        <v>99</v>
      </c>
      <c r="B217">
        <v>48370320</v>
      </c>
      <c r="C217">
        <v>48371663</v>
      </c>
      <c r="D217">
        <v>37737279</v>
      </c>
      <c r="E217">
        <v>1</v>
      </c>
      <c r="F217">
        <v>1</v>
      </c>
      <c r="G217">
        <v>1</v>
      </c>
      <c r="H217">
        <v>3</v>
      </c>
      <c r="I217" t="s">
        <v>816</v>
      </c>
      <c r="J217" t="s">
        <v>817</v>
      </c>
      <c r="K217" t="s">
        <v>818</v>
      </c>
      <c r="L217">
        <v>1348</v>
      </c>
      <c r="N217">
        <v>1009</v>
      </c>
      <c r="O217" t="s">
        <v>536</v>
      </c>
      <c r="P217" t="s">
        <v>536</v>
      </c>
      <c r="Q217">
        <v>1000</v>
      </c>
      <c r="W217">
        <v>0</v>
      </c>
      <c r="X217">
        <v>963118733</v>
      </c>
      <c r="Y217">
        <v>1.3999999999999999E-4</v>
      </c>
      <c r="AA217">
        <v>59539.7</v>
      </c>
      <c r="AB217">
        <v>0</v>
      </c>
      <c r="AC217">
        <v>0</v>
      </c>
      <c r="AD217">
        <v>0</v>
      </c>
      <c r="AE217">
        <v>12430</v>
      </c>
      <c r="AF217">
        <v>0</v>
      </c>
      <c r="AG217">
        <v>0</v>
      </c>
      <c r="AH217">
        <v>0</v>
      </c>
      <c r="AI217">
        <v>4.79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3</v>
      </c>
      <c r="AT217">
        <v>1.3999999999999999E-4</v>
      </c>
      <c r="AU217" t="s">
        <v>3</v>
      </c>
      <c r="AV217">
        <v>0</v>
      </c>
      <c r="AW217">
        <v>2</v>
      </c>
      <c r="AX217">
        <v>48371667</v>
      </c>
      <c r="AY217">
        <v>1</v>
      </c>
      <c r="AZ217">
        <v>0</v>
      </c>
      <c r="BA217">
        <v>218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Y217*Source!I99</f>
        <v>5.5999999999999999E-5</v>
      </c>
      <c r="CY217">
        <f>AA217</f>
        <v>59539.7</v>
      </c>
      <c r="CZ217">
        <f>AE217</f>
        <v>12430</v>
      </c>
      <c r="DA217">
        <f>AI217</f>
        <v>4.79</v>
      </c>
      <c r="DB217">
        <v>0</v>
      </c>
    </row>
    <row r="218" spans="1:106">
      <c r="A218">
        <f>ROW(Source!A99)</f>
        <v>99</v>
      </c>
      <c r="B218">
        <v>48370320</v>
      </c>
      <c r="C218">
        <v>48371663</v>
      </c>
      <c r="D218">
        <v>37737063</v>
      </c>
      <c r="E218">
        <v>1</v>
      </c>
      <c r="F218">
        <v>1</v>
      </c>
      <c r="G218">
        <v>1</v>
      </c>
      <c r="H218">
        <v>3</v>
      </c>
      <c r="I218" t="s">
        <v>819</v>
      </c>
      <c r="J218" t="s">
        <v>820</v>
      </c>
      <c r="K218" t="s">
        <v>821</v>
      </c>
      <c r="L218">
        <v>1358</v>
      </c>
      <c r="N218">
        <v>1010</v>
      </c>
      <c r="O218" t="s">
        <v>278</v>
      </c>
      <c r="P218" t="s">
        <v>278</v>
      </c>
      <c r="Q218">
        <v>10</v>
      </c>
      <c r="W218">
        <v>0</v>
      </c>
      <c r="X218">
        <v>-1114064279</v>
      </c>
      <c r="Y218">
        <v>2</v>
      </c>
      <c r="AA218">
        <v>3.44</v>
      </c>
      <c r="AB218">
        <v>0</v>
      </c>
      <c r="AC218">
        <v>0</v>
      </c>
      <c r="AD218">
        <v>0</v>
      </c>
      <c r="AE218">
        <v>1.8</v>
      </c>
      <c r="AF218">
        <v>0</v>
      </c>
      <c r="AG218">
        <v>0</v>
      </c>
      <c r="AH218">
        <v>0</v>
      </c>
      <c r="AI218">
        <v>1.91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3</v>
      </c>
      <c r="AT218">
        <v>2</v>
      </c>
      <c r="AU218" t="s">
        <v>3</v>
      </c>
      <c r="AV218">
        <v>0</v>
      </c>
      <c r="AW218">
        <v>2</v>
      </c>
      <c r="AX218">
        <v>48371668</v>
      </c>
      <c r="AY218">
        <v>1</v>
      </c>
      <c r="AZ218">
        <v>0</v>
      </c>
      <c r="BA218">
        <v>219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Y218*Source!I99</f>
        <v>0.8</v>
      </c>
      <c r="CY218">
        <f>AA218</f>
        <v>3.44</v>
      </c>
      <c r="CZ218">
        <f>AE218</f>
        <v>1.8</v>
      </c>
      <c r="DA218">
        <f>AI218</f>
        <v>1.91</v>
      </c>
      <c r="DB218">
        <v>0</v>
      </c>
    </row>
    <row r="219" spans="1:106">
      <c r="A219">
        <f>ROW(Source!A99)</f>
        <v>99</v>
      </c>
      <c r="B219">
        <v>48370320</v>
      </c>
      <c r="C219">
        <v>48371663</v>
      </c>
      <c r="D219">
        <v>37764786</v>
      </c>
      <c r="E219">
        <v>1</v>
      </c>
      <c r="F219">
        <v>1</v>
      </c>
      <c r="G219">
        <v>1</v>
      </c>
      <c r="H219">
        <v>3</v>
      </c>
      <c r="I219" t="s">
        <v>822</v>
      </c>
      <c r="J219" t="s">
        <v>823</v>
      </c>
      <c r="K219" t="s">
        <v>824</v>
      </c>
      <c r="L219">
        <v>1354</v>
      </c>
      <c r="N219">
        <v>1010</v>
      </c>
      <c r="O219" t="s">
        <v>220</v>
      </c>
      <c r="P219" t="s">
        <v>220</v>
      </c>
      <c r="Q219">
        <v>1</v>
      </c>
      <c r="W219">
        <v>0</v>
      </c>
      <c r="X219">
        <v>403524115</v>
      </c>
      <c r="Y219">
        <v>10</v>
      </c>
      <c r="AA219">
        <v>1037.3699999999999</v>
      </c>
      <c r="AB219">
        <v>0</v>
      </c>
      <c r="AC219">
        <v>0</v>
      </c>
      <c r="AD219">
        <v>0</v>
      </c>
      <c r="AE219">
        <v>154.6</v>
      </c>
      <c r="AF219">
        <v>0</v>
      </c>
      <c r="AG219">
        <v>0</v>
      </c>
      <c r="AH219">
        <v>0</v>
      </c>
      <c r="AI219">
        <v>6.71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3</v>
      </c>
      <c r="AT219">
        <v>10</v>
      </c>
      <c r="AU219" t="s">
        <v>3</v>
      </c>
      <c r="AV219">
        <v>0</v>
      </c>
      <c r="AW219">
        <v>2</v>
      </c>
      <c r="AX219">
        <v>48371669</v>
      </c>
      <c r="AY219">
        <v>1</v>
      </c>
      <c r="AZ219">
        <v>0</v>
      </c>
      <c r="BA219">
        <v>220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Y219*Source!I99</f>
        <v>4</v>
      </c>
      <c r="CY219">
        <f>AA219</f>
        <v>1037.3699999999999</v>
      </c>
      <c r="CZ219">
        <f>AE219</f>
        <v>154.6</v>
      </c>
      <c r="DA219">
        <f>AI219</f>
        <v>6.71</v>
      </c>
      <c r="DB219">
        <v>0</v>
      </c>
    </row>
    <row r="220" spans="1:106">
      <c r="A220">
        <f>ROW(Source!A104)</f>
        <v>104</v>
      </c>
      <c r="B220">
        <v>48370320</v>
      </c>
      <c r="C220">
        <v>48371800</v>
      </c>
      <c r="D220">
        <v>23129487</v>
      </c>
      <c r="E220">
        <v>1</v>
      </c>
      <c r="F220">
        <v>1</v>
      </c>
      <c r="G220">
        <v>1</v>
      </c>
      <c r="H220">
        <v>1</v>
      </c>
      <c r="I220" t="s">
        <v>631</v>
      </c>
      <c r="J220" t="s">
        <v>3</v>
      </c>
      <c r="K220" t="s">
        <v>632</v>
      </c>
      <c r="L220">
        <v>1369</v>
      </c>
      <c r="N220">
        <v>1013</v>
      </c>
      <c r="O220" t="s">
        <v>510</v>
      </c>
      <c r="P220" t="s">
        <v>510</v>
      </c>
      <c r="Q220">
        <v>1</v>
      </c>
      <c r="W220">
        <v>0</v>
      </c>
      <c r="X220">
        <v>2002501603</v>
      </c>
      <c r="Y220">
        <v>81.649999999999991</v>
      </c>
      <c r="AA220">
        <v>0</v>
      </c>
      <c r="AB220">
        <v>0</v>
      </c>
      <c r="AC220">
        <v>0</v>
      </c>
      <c r="AD220">
        <v>8.48</v>
      </c>
      <c r="AE220">
        <v>0</v>
      </c>
      <c r="AF220">
        <v>0</v>
      </c>
      <c r="AG220">
        <v>0</v>
      </c>
      <c r="AH220">
        <v>8.48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1</v>
      </c>
      <c r="AQ220">
        <v>0</v>
      </c>
      <c r="AR220">
        <v>0</v>
      </c>
      <c r="AS220" t="s">
        <v>3</v>
      </c>
      <c r="AT220">
        <v>71</v>
      </c>
      <c r="AU220" t="s">
        <v>161</v>
      </c>
      <c r="AV220">
        <v>1</v>
      </c>
      <c r="AW220">
        <v>2</v>
      </c>
      <c r="AX220">
        <v>48371801</v>
      </c>
      <c r="AY220">
        <v>1</v>
      </c>
      <c r="AZ220">
        <v>0</v>
      </c>
      <c r="BA220">
        <v>221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Y220*Source!I104</f>
        <v>1.71465</v>
      </c>
      <c r="CY220">
        <f>AD220</f>
        <v>8.48</v>
      </c>
      <c r="CZ220">
        <f>AH220</f>
        <v>8.48</v>
      </c>
      <c r="DA220">
        <f>AL220</f>
        <v>1</v>
      </c>
      <c r="DB220">
        <v>0</v>
      </c>
    </row>
    <row r="221" spans="1:106">
      <c r="A221">
        <f>ROW(Source!A104)</f>
        <v>104</v>
      </c>
      <c r="B221">
        <v>48370320</v>
      </c>
      <c r="C221">
        <v>48371800</v>
      </c>
      <c r="D221">
        <v>37803303</v>
      </c>
      <c r="E221">
        <v>1</v>
      </c>
      <c r="F221">
        <v>1</v>
      </c>
      <c r="G221">
        <v>1</v>
      </c>
      <c r="H221">
        <v>2</v>
      </c>
      <c r="I221" t="s">
        <v>804</v>
      </c>
      <c r="J221" t="s">
        <v>805</v>
      </c>
      <c r="K221" t="s">
        <v>806</v>
      </c>
      <c r="L221">
        <v>1368</v>
      </c>
      <c r="N221">
        <v>1011</v>
      </c>
      <c r="O221" t="s">
        <v>516</v>
      </c>
      <c r="P221" t="s">
        <v>516</v>
      </c>
      <c r="Q221">
        <v>1</v>
      </c>
      <c r="W221">
        <v>0</v>
      </c>
      <c r="X221">
        <v>325281995</v>
      </c>
      <c r="Y221">
        <v>1.9375</v>
      </c>
      <c r="AA221">
        <v>0</v>
      </c>
      <c r="AB221">
        <v>12</v>
      </c>
      <c r="AC221">
        <v>0</v>
      </c>
      <c r="AD221">
        <v>0</v>
      </c>
      <c r="AE221">
        <v>0</v>
      </c>
      <c r="AF221">
        <v>1.98</v>
      </c>
      <c r="AG221">
        <v>0</v>
      </c>
      <c r="AH221">
        <v>0</v>
      </c>
      <c r="AI221">
        <v>1</v>
      </c>
      <c r="AJ221">
        <v>6.06</v>
      </c>
      <c r="AK221">
        <v>20.88</v>
      </c>
      <c r="AL221">
        <v>1</v>
      </c>
      <c r="AN221">
        <v>0</v>
      </c>
      <c r="AO221">
        <v>1</v>
      </c>
      <c r="AP221">
        <v>1</v>
      </c>
      <c r="AQ221">
        <v>0</v>
      </c>
      <c r="AR221">
        <v>0</v>
      </c>
      <c r="AS221" t="s">
        <v>3</v>
      </c>
      <c r="AT221">
        <v>1.55</v>
      </c>
      <c r="AU221" t="s">
        <v>160</v>
      </c>
      <c r="AV221">
        <v>0</v>
      </c>
      <c r="AW221">
        <v>2</v>
      </c>
      <c r="AX221">
        <v>48371802</v>
      </c>
      <c r="AY221">
        <v>1</v>
      </c>
      <c r="AZ221">
        <v>0</v>
      </c>
      <c r="BA221">
        <v>222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Y221*Source!I104</f>
        <v>4.0687500000000001E-2</v>
      </c>
      <c r="CY221">
        <f>AB221</f>
        <v>12</v>
      </c>
      <c r="CZ221">
        <f>AF221</f>
        <v>1.98</v>
      </c>
      <c r="DA221">
        <f>AJ221</f>
        <v>6.06</v>
      </c>
      <c r="DB221">
        <v>0</v>
      </c>
    </row>
    <row r="222" spans="1:106">
      <c r="A222">
        <f>ROW(Source!A104)</f>
        <v>104</v>
      </c>
      <c r="B222">
        <v>48370320</v>
      </c>
      <c r="C222">
        <v>48371800</v>
      </c>
      <c r="D222">
        <v>37804098</v>
      </c>
      <c r="E222">
        <v>1</v>
      </c>
      <c r="F222">
        <v>1</v>
      </c>
      <c r="G222">
        <v>1</v>
      </c>
      <c r="H222">
        <v>2</v>
      </c>
      <c r="I222" t="s">
        <v>825</v>
      </c>
      <c r="J222" t="s">
        <v>826</v>
      </c>
      <c r="K222" t="s">
        <v>827</v>
      </c>
      <c r="L222">
        <v>1368</v>
      </c>
      <c r="N222">
        <v>1011</v>
      </c>
      <c r="O222" t="s">
        <v>516</v>
      </c>
      <c r="P222" t="s">
        <v>516</v>
      </c>
      <c r="Q222">
        <v>1</v>
      </c>
      <c r="W222">
        <v>0</v>
      </c>
      <c r="X222">
        <v>663719329</v>
      </c>
      <c r="Y222">
        <v>0.47499999999999998</v>
      </c>
      <c r="AA222">
        <v>0</v>
      </c>
      <c r="AB222">
        <v>112.94</v>
      </c>
      <c r="AC222">
        <v>0</v>
      </c>
      <c r="AD222">
        <v>0</v>
      </c>
      <c r="AE222">
        <v>0</v>
      </c>
      <c r="AF222">
        <v>37.15</v>
      </c>
      <c r="AG222">
        <v>0</v>
      </c>
      <c r="AH222">
        <v>0</v>
      </c>
      <c r="AI222">
        <v>1</v>
      </c>
      <c r="AJ222">
        <v>3.04</v>
      </c>
      <c r="AK222">
        <v>20.88</v>
      </c>
      <c r="AL222">
        <v>1</v>
      </c>
      <c r="AN222">
        <v>0</v>
      </c>
      <c r="AO222">
        <v>1</v>
      </c>
      <c r="AP222">
        <v>1</v>
      </c>
      <c r="AQ222">
        <v>0</v>
      </c>
      <c r="AR222">
        <v>0</v>
      </c>
      <c r="AS222" t="s">
        <v>3</v>
      </c>
      <c r="AT222">
        <v>0.38</v>
      </c>
      <c r="AU222" t="s">
        <v>160</v>
      </c>
      <c r="AV222">
        <v>0</v>
      </c>
      <c r="AW222">
        <v>2</v>
      </c>
      <c r="AX222">
        <v>48371803</v>
      </c>
      <c r="AY222">
        <v>1</v>
      </c>
      <c r="AZ222">
        <v>0</v>
      </c>
      <c r="BA222">
        <v>223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Y222*Source!I104</f>
        <v>9.9749999999999995E-3</v>
      </c>
      <c r="CY222">
        <f>AB222</f>
        <v>112.94</v>
      </c>
      <c r="CZ222">
        <f>AF222</f>
        <v>37.15</v>
      </c>
      <c r="DA222">
        <f>AJ222</f>
        <v>3.04</v>
      </c>
      <c r="DB222">
        <v>0</v>
      </c>
    </row>
    <row r="223" spans="1:106">
      <c r="A223">
        <f>ROW(Source!A104)</f>
        <v>104</v>
      </c>
      <c r="B223">
        <v>48370320</v>
      </c>
      <c r="C223">
        <v>48371800</v>
      </c>
      <c r="D223">
        <v>37804136</v>
      </c>
      <c r="E223">
        <v>1</v>
      </c>
      <c r="F223">
        <v>1</v>
      </c>
      <c r="G223">
        <v>1</v>
      </c>
      <c r="H223">
        <v>2</v>
      </c>
      <c r="I223" t="s">
        <v>828</v>
      </c>
      <c r="J223" t="s">
        <v>829</v>
      </c>
      <c r="K223" t="s">
        <v>830</v>
      </c>
      <c r="L223">
        <v>1368</v>
      </c>
      <c r="N223">
        <v>1011</v>
      </c>
      <c r="O223" t="s">
        <v>516</v>
      </c>
      <c r="P223" t="s">
        <v>516</v>
      </c>
      <c r="Q223">
        <v>1</v>
      </c>
      <c r="W223">
        <v>0</v>
      </c>
      <c r="X223">
        <v>1067600123</v>
      </c>
      <c r="Y223">
        <v>0.63749999999999996</v>
      </c>
      <c r="AA223">
        <v>0</v>
      </c>
      <c r="AB223">
        <v>7.88</v>
      </c>
      <c r="AC223">
        <v>0</v>
      </c>
      <c r="AD223">
        <v>0</v>
      </c>
      <c r="AE223">
        <v>0</v>
      </c>
      <c r="AF223">
        <v>2.27</v>
      </c>
      <c r="AG223">
        <v>0</v>
      </c>
      <c r="AH223">
        <v>0</v>
      </c>
      <c r="AI223">
        <v>1</v>
      </c>
      <c r="AJ223">
        <v>3.47</v>
      </c>
      <c r="AK223">
        <v>20.88</v>
      </c>
      <c r="AL223">
        <v>1</v>
      </c>
      <c r="AN223">
        <v>0</v>
      </c>
      <c r="AO223">
        <v>1</v>
      </c>
      <c r="AP223">
        <v>1</v>
      </c>
      <c r="AQ223">
        <v>0</v>
      </c>
      <c r="AR223">
        <v>0</v>
      </c>
      <c r="AS223" t="s">
        <v>3</v>
      </c>
      <c r="AT223">
        <v>0.51</v>
      </c>
      <c r="AU223" t="s">
        <v>160</v>
      </c>
      <c r="AV223">
        <v>0</v>
      </c>
      <c r="AW223">
        <v>2</v>
      </c>
      <c r="AX223">
        <v>48371804</v>
      </c>
      <c r="AY223">
        <v>1</v>
      </c>
      <c r="AZ223">
        <v>0</v>
      </c>
      <c r="BA223">
        <v>224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Y223*Source!I104</f>
        <v>1.33875E-2</v>
      </c>
      <c r="CY223">
        <f>AB223</f>
        <v>7.88</v>
      </c>
      <c r="CZ223">
        <f>AF223</f>
        <v>2.27</v>
      </c>
      <c r="DA223">
        <f>AJ223</f>
        <v>3.47</v>
      </c>
      <c r="DB223">
        <v>0</v>
      </c>
    </row>
    <row r="224" spans="1:106">
      <c r="A224">
        <f>ROW(Source!A104)</f>
        <v>104</v>
      </c>
      <c r="B224">
        <v>48370320</v>
      </c>
      <c r="C224">
        <v>48371800</v>
      </c>
      <c r="D224">
        <v>37730704</v>
      </c>
      <c r="E224">
        <v>1</v>
      </c>
      <c r="F224">
        <v>1</v>
      </c>
      <c r="G224">
        <v>1</v>
      </c>
      <c r="H224">
        <v>3</v>
      </c>
      <c r="I224" t="s">
        <v>831</v>
      </c>
      <c r="J224" t="s">
        <v>832</v>
      </c>
      <c r="K224" t="s">
        <v>833</v>
      </c>
      <c r="L224">
        <v>1354</v>
      </c>
      <c r="N224">
        <v>1010</v>
      </c>
      <c r="O224" t="s">
        <v>220</v>
      </c>
      <c r="P224" t="s">
        <v>220</v>
      </c>
      <c r="Q224">
        <v>1</v>
      </c>
      <c r="W224">
        <v>0</v>
      </c>
      <c r="X224">
        <v>215699639</v>
      </c>
      <c r="Y224">
        <v>7</v>
      </c>
      <c r="AA224">
        <v>81.09</v>
      </c>
      <c r="AB224">
        <v>0</v>
      </c>
      <c r="AC224">
        <v>0</v>
      </c>
      <c r="AD224">
        <v>0</v>
      </c>
      <c r="AE224">
        <v>14.03</v>
      </c>
      <c r="AF224">
        <v>0</v>
      </c>
      <c r="AG224">
        <v>0</v>
      </c>
      <c r="AH224">
        <v>0</v>
      </c>
      <c r="AI224">
        <v>5.78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3</v>
      </c>
      <c r="AT224">
        <v>7</v>
      </c>
      <c r="AU224" t="s">
        <v>3</v>
      </c>
      <c r="AV224">
        <v>0</v>
      </c>
      <c r="AW224">
        <v>2</v>
      </c>
      <c r="AX224">
        <v>48371805</v>
      </c>
      <c r="AY224">
        <v>1</v>
      </c>
      <c r="AZ224">
        <v>0</v>
      </c>
      <c r="BA224">
        <v>225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Y224*Source!I104</f>
        <v>0.14700000000000002</v>
      </c>
      <c r="CY224">
        <f t="shared" ref="CY224:CY237" si="18">AA224</f>
        <v>81.09</v>
      </c>
      <c r="CZ224">
        <f t="shared" ref="CZ224:CZ237" si="19">AE224</f>
        <v>14.03</v>
      </c>
      <c r="DA224">
        <f t="shared" ref="DA224:DA237" si="20">AI224</f>
        <v>5.78</v>
      </c>
      <c r="DB224">
        <v>0</v>
      </c>
    </row>
    <row r="225" spans="1:106">
      <c r="A225">
        <f>ROW(Source!A104)</f>
        <v>104</v>
      </c>
      <c r="B225">
        <v>48370320</v>
      </c>
      <c r="C225">
        <v>48371800</v>
      </c>
      <c r="D225">
        <v>37731527</v>
      </c>
      <c r="E225">
        <v>1</v>
      </c>
      <c r="F225">
        <v>1</v>
      </c>
      <c r="G225">
        <v>1</v>
      </c>
      <c r="H225">
        <v>3</v>
      </c>
      <c r="I225" t="s">
        <v>834</v>
      </c>
      <c r="J225" t="s">
        <v>835</v>
      </c>
      <c r="K225" t="s">
        <v>836</v>
      </c>
      <c r="L225">
        <v>1346</v>
      </c>
      <c r="N225">
        <v>1009</v>
      </c>
      <c r="O225" t="s">
        <v>172</v>
      </c>
      <c r="P225" t="s">
        <v>172</v>
      </c>
      <c r="Q225">
        <v>1</v>
      </c>
      <c r="W225">
        <v>0</v>
      </c>
      <c r="X225">
        <v>-320371379</v>
      </c>
      <c r="Y225">
        <v>10</v>
      </c>
      <c r="AA225">
        <v>58.26</v>
      </c>
      <c r="AB225">
        <v>0</v>
      </c>
      <c r="AC225">
        <v>0</v>
      </c>
      <c r="AD225">
        <v>0</v>
      </c>
      <c r="AE225">
        <v>13.27</v>
      </c>
      <c r="AF225">
        <v>0</v>
      </c>
      <c r="AG225">
        <v>0</v>
      </c>
      <c r="AH225">
        <v>0</v>
      </c>
      <c r="AI225">
        <v>4.3899999999999997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3</v>
      </c>
      <c r="AT225">
        <v>10</v>
      </c>
      <c r="AU225" t="s">
        <v>3</v>
      </c>
      <c r="AV225">
        <v>0</v>
      </c>
      <c r="AW225">
        <v>2</v>
      </c>
      <c r="AX225">
        <v>48371806</v>
      </c>
      <c r="AY225">
        <v>1</v>
      </c>
      <c r="AZ225">
        <v>0</v>
      </c>
      <c r="BA225">
        <v>226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Y225*Source!I104</f>
        <v>0.21000000000000002</v>
      </c>
      <c r="CY225">
        <f t="shared" si="18"/>
        <v>58.26</v>
      </c>
      <c r="CZ225">
        <f t="shared" si="19"/>
        <v>13.27</v>
      </c>
      <c r="DA225">
        <f t="shared" si="20"/>
        <v>4.3899999999999997</v>
      </c>
      <c r="DB225">
        <v>0</v>
      </c>
    </row>
    <row r="226" spans="1:106">
      <c r="A226">
        <f>ROW(Source!A104)</f>
        <v>104</v>
      </c>
      <c r="B226">
        <v>48370320</v>
      </c>
      <c r="C226">
        <v>48371800</v>
      </c>
      <c r="D226">
        <v>37731586</v>
      </c>
      <c r="E226">
        <v>1</v>
      </c>
      <c r="F226">
        <v>1</v>
      </c>
      <c r="G226">
        <v>1</v>
      </c>
      <c r="H226">
        <v>3</v>
      </c>
      <c r="I226" t="s">
        <v>837</v>
      </c>
      <c r="J226" t="s">
        <v>838</v>
      </c>
      <c r="K226" t="s">
        <v>839</v>
      </c>
      <c r="L226">
        <v>1346</v>
      </c>
      <c r="N226">
        <v>1009</v>
      </c>
      <c r="O226" t="s">
        <v>172</v>
      </c>
      <c r="P226" t="s">
        <v>172</v>
      </c>
      <c r="Q226">
        <v>1</v>
      </c>
      <c r="W226">
        <v>0</v>
      </c>
      <c r="X226">
        <v>763358242</v>
      </c>
      <c r="Y226">
        <v>60</v>
      </c>
      <c r="AA226">
        <v>8.0500000000000007</v>
      </c>
      <c r="AB226">
        <v>0</v>
      </c>
      <c r="AC226">
        <v>0</v>
      </c>
      <c r="AD226">
        <v>0</v>
      </c>
      <c r="AE226">
        <v>1.6</v>
      </c>
      <c r="AF226">
        <v>0</v>
      </c>
      <c r="AG226">
        <v>0</v>
      </c>
      <c r="AH226">
        <v>0</v>
      </c>
      <c r="AI226">
        <v>5.03</v>
      </c>
      <c r="AJ226">
        <v>1</v>
      </c>
      <c r="AK226">
        <v>1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3</v>
      </c>
      <c r="AT226">
        <v>60</v>
      </c>
      <c r="AU226" t="s">
        <v>3</v>
      </c>
      <c r="AV226">
        <v>0</v>
      </c>
      <c r="AW226">
        <v>2</v>
      </c>
      <c r="AX226">
        <v>48371807</v>
      </c>
      <c r="AY226">
        <v>1</v>
      </c>
      <c r="AZ226">
        <v>0</v>
      </c>
      <c r="BA226">
        <v>227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Y226*Source!I104</f>
        <v>1.26</v>
      </c>
      <c r="CY226">
        <f t="shared" si="18"/>
        <v>8.0500000000000007</v>
      </c>
      <c r="CZ226">
        <f t="shared" si="19"/>
        <v>1.6</v>
      </c>
      <c r="DA226">
        <f t="shared" si="20"/>
        <v>5.03</v>
      </c>
      <c r="DB226">
        <v>0</v>
      </c>
    </row>
    <row r="227" spans="1:106">
      <c r="A227">
        <f>ROW(Source!A104)</f>
        <v>104</v>
      </c>
      <c r="B227">
        <v>48370320</v>
      </c>
      <c r="C227">
        <v>48371800</v>
      </c>
      <c r="D227">
        <v>37731904</v>
      </c>
      <c r="E227">
        <v>1</v>
      </c>
      <c r="F227">
        <v>1</v>
      </c>
      <c r="G227">
        <v>1</v>
      </c>
      <c r="H227">
        <v>3</v>
      </c>
      <c r="I227" t="s">
        <v>840</v>
      </c>
      <c r="J227" t="s">
        <v>841</v>
      </c>
      <c r="K227" t="s">
        <v>842</v>
      </c>
      <c r="L227">
        <v>1346</v>
      </c>
      <c r="N227">
        <v>1009</v>
      </c>
      <c r="O227" t="s">
        <v>172</v>
      </c>
      <c r="P227" t="s">
        <v>172</v>
      </c>
      <c r="Q227">
        <v>1</v>
      </c>
      <c r="W227">
        <v>0</v>
      </c>
      <c r="X227">
        <v>-700192894</v>
      </c>
      <c r="Y227">
        <v>4</v>
      </c>
      <c r="AA227">
        <v>43.07</v>
      </c>
      <c r="AB227">
        <v>0</v>
      </c>
      <c r="AC227">
        <v>0</v>
      </c>
      <c r="AD227">
        <v>0</v>
      </c>
      <c r="AE227">
        <v>7.57</v>
      </c>
      <c r="AF227">
        <v>0</v>
      </c>
      <c r="AG227">
        <v>0</v>
      </c>
      <c r="AH227">
        <v>0</v>
      </c>
      <c r="AI227">
        <v>5.69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3</v>
      </c>
      <c r="AT227">
        <v>4</v>
      </c>
      <c r="AU227" t="s">
        <v>3</v>
      </c>
      <c r="AV227">
        <v>0</v>
      </c>
      <c r="AW227">
        <v>2</v>
      </c>
      <c r="AX227">
        <v>48371808</v>
      </c>
      <c r="AY227">
        <v>1</v>
      </c>
      <c r="AZ227">
        <v>0</v>
      </c>
      <c r="BA227">
        <v>228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Y227*Source!I104</f>
        <v>8.4000000000000005E-2</v>
      </c>
      <c r="CY227">
        <f t="shared" si="18"/>
        <v>43.07</v>
      </c>
      <c r="CZ227">
        <f t="shared" si="19"/>
        <v>7.57</v>
      </c>
      <c r="DA227">
        <f t="shared" si="20"/>
        <v>5.69</v>
      </c>
      <c r="DB227">
        <v>0</v>
      </c>
    </row>
    <row r="228" spans="1:106">
      <c r="A228">
        <f>ROW(Source!A104)</f>
        <v>104</v>
      </c>
      <c r="B228">
        <v>48370320</v>
      </c>
      <c r="C228">
        <v>48371800</v>
      </c>
      <c r="D228">
        <v>37731905</v>
      </c>
      <c r="E228">
        <v>1</v>
      </c>
      <c r="F228">
        <v>1</v>
      </c>
      <c r="G228">
        <v>1</v>
      </c>
      <c r="H228">
        <v>3</v>
      </c>
      <c r="I228" t="s">
        <v>843</v>
      </c>
      <c r="J228" t="s">
        <v>844</v>
      </c>
      <c r="K228" t="s">
        <v>845</v>
      </c>
      <c r="L228">
        <v>1346</v>
      </c>
      <c r="N228">
        <v>1009</v>
      </c>
      <c r="O228" t="s">
        <v>172</v>
      </c>
      <c r="P228" t="s">
        <v>172</v>
      </c>
      <c r="Q228">
        <v>1</v>
      </c>
      <c r="W228">
        <v>0</v>
      </c>
      <c r="X228">
        <v>-1500162850</v>
      </c>
      <c r="Y228">
        <v>37</v>
      </c>
      <c r="AA228">
        <v>15.73</v>
      </c>
      <c r="AB228">
        <v>0</v>
      </c>
      <c r="AC228">
        <v>0</v>
      </c>
      <c r="AD228">
        <v>0</v>
      </c>
      <c r="AE228">
        <v>2.74</v>
      </c>
      <c r="AF228">
        <v>0</v>
      </c>
      <c r="AG228">
        <v>0</v>
      </c>
      <c r="AH228">
        <v>0</v>
      </c>
      <c r="AI228">
        <v>5.74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3</v>
      </c>
      <c r="AT228">
        <v>37</v>
      </c>
      <c r="AU228" t="s">
        <v>3</v>
      </c>
      <c r="AV228">
        <v>0</v>
      </c>
      <c r="AW228">
        <v>2</v>
      </c>
      <c r="AX228">
        <v>48371809</v>
      </c>
      <c r="AY228">
        <v>1</v>
      </c>
      <c r="AZ228">
        <v>0</v>
      </c>
      <c r="BA228">
        <v>229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Y228*Source!I104</f>
        <v>0.77700000000000002</v>
      </c>
      <c r="CY228">
        <f t="shared" si="18"/>
        <v>15.73</v>
      </c>
      <c r="CZ228">
        <f t="shared" si="19"/>
        <v>2.74</v>
      </c>
      <c r="DA228">
        <f t="shared" si="20"/>
        <v>5.74</v>
      </c>
      <c r="DB228">
        <v>0</v>
      </c>
    </row>
    <row r="229" spans="1:106">
      <c r="A229">
        <f>ROW(Source!A104)</f>
        <v>104</v>
      </c>
      <c r="B229">
        <v>48370320</v>
      </c>
      <c r="C229">
        <v>48371800</v>
      </c>
      <c r="D229">
        <v>37732902</v>
      </c>
      <c r="E229">
        <v>1</v>
      </c>
      <c r="F229">
        <v>1</v>
      </c>
      <c r="G229">
        <v>1</v>
      </c>
      <c r="H229">
        <v>3</v>
      </c>
      <c r="I229" t="s">
        <v>846</v>
      </c>
      <c r="J229" t="s">
        <v>847</v>
      </c>
      <c r="K229" t="s">
        <v>848</v>
      </c>
      <c r="L229">
        <v>1301</v>
      </c>
      <c r="N229">
        <v>1003</v>
      </c>
      <c r="O229" t="s">
        <v>208</v>
      </c>
      <c r="P229" t="s">
        <v>208</v>
      </c>
      <c r="Q229">
        <v>1</v>
      </c>
      <c r="W229">
        <v>0</v>
      </c>
      <c r="X229">
        <v>-160791851</v>
      </c>
      <c r="Y229">
        <v>83</v>
      </c>
      <c r="AA229">
        <v>1.58</v>
      </c>
      <c r="AB229">
        <v>0</v>
      </c>
      <c r="AC229">
        <v>0</v>
      </c>
      <c r="AD229">
        <v>0</v>
      </c>
      <c r="AE229">
        <v>0.17</v>
      </c>
      <c r="AF229">
        <v>0</v>
      </c>
      <c r="AG229">
        <v>0</v>
      </c>
      <c r="AH229">
        <v>0</v>
      </c>
      <c r="AI229">
        <v>9.2899999999999991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3</v>
      </c>
      <c r="AT229">
        <v>83</v>
      </c>
      <c r="AU229" t="s">
        <v>3</v>
      </c>
      <c r="AV229">
        <v>0</v>
      </c>
      <c r="AW229">
        <v>2</v>
      </c>
      <c r="AX229">
        <v>48371810</v>
      </c>
      <c r="AY229">
        <v>1</v>
      </c>
      <c r="AZ229">
        <v>0</v>
      </c>
      <c r="BA229">
        <v>230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Y229*Source!I104</f>
        <v>1.7430000000000001</v>
      </c>
      <c r="CY229">
        <f t="shared" si="18"/>
        <v>1.58</v>
      </c>
      <c r="CZ229">
        <f t="shared" si="19"/>
        <v>0.17</v>
      </c>
      <c r="DA229">
        <f t="shared" si="20"/>
        <v>9.2899999999999991</v>
      </c>
      <c r="DB229">
        <v>0</v>
      </c>
    </row>
    <row r="230" spans="1:106">
      <c r="A230">
        <f>ROW(Source!A104)</f>
        <v>104</v>
      </c>
      <c r="B230">
        <v>48370320</v>
      </c>
      <c r="C230">
        <v>48371800</v>
      </c>
      <c r="D230">
        <v>37733005</v>
      </c>
      <c r="E230">
        <v>1</v>
      </c>
      <c r="F230">
        <v>1</v>
      </c>
      <c r="G230">
        <v>1</v>
      </c>
      <c r="H230">
        <v>3</v>
      </c>
      <c r="I230" t="s">
        <v>849</v>
      </c>
      <c r="J230" t="s">
        <v>850</v>
      </c>
      <c r="K230" t="s">
        <v>851</v>
      </c>
      <c r="L230">
        <v>1301</v>
      </c>
      <c r="N230">
        <v>1003</v>
      </c>
      <c r="O230" t="s">
        <v>208</v>
      </c>
      <c r="P230" t="s">
        <v>208</v>
      </c>
      <c r="Q230">
        <v>1</v>
      </c>
      <c r="W230">
        <v>0</v>
      </c>
      <c r="X230">
        <v>-447968975</v>
      </c>
      <c r="Y230">
        <v>82</v>
      </c>
      <c r="AA230">
        <v>10.7</v>
      </c>
      <c r="AB230">
        <v>0</v>
      </c>
      <c r="AC230">
        <v>0</v>
      </c>
      <c r="AD230">
        <v>0</v>
      </c>
      <c r="AE230">
        <v>1.76</v>
      </c>
      <c r="AF230">
        <v>0</v>
      </c>
      <c r="AG230">
        <v>0</v>
      </c>
      <c r="AH230">
        <v>0</v>
      </c>
      <c r="AI230">
        <v>6.08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3</v>
      </c>
      <c r="AT230">
        <v>82</v>
      </c>
      <c r="AU230" t="s">
        <v>3</v>
      </c>
      <c r="AV230">
        <v>0</v>
      </c>
      <c r="AW230">
        <v>2</v>
      </c>
      <c r="AX230">
        <v>48371811</v>
      </c>
      <c r="AY230">
        <v>1</v>
      </c>
      <c r="AZ230">
        <v>0</v>
      </c>
      <c r="BA230">
        <v>231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Y230*Source!I104</f>
        <v>1.7220000000000002</v>
      </c>
      <c r="CY230">
        <f t="shared" si="18"/>
        <v>10.7</v>
      </c>
      <c r="CZ230">
        <f t="shared" si="19"/>
        <v>1.76</v>
      </c>
      <c r="DA230">
        <f t="shared" si="20"/>
        <v>6.08</v>
      </c>
      <c r="DB230">
        <v>0</v>
      </c>
    </row>
    <row r="231" spans="1:106">
      <c r="A231">
        <f>ROW(Source!A104)</f>
        <v>104</v>
      </c>
      <c r="B231">
        <v>48370320</v>
      </c>
      <c r="C231">
        <v>48371800</v>
      </c>
      <c r="D231">
        <v>37733020</v>
      </c>
      <c r="E231">
        <v>1</v>
      </c>
      <c r="F231">
        <v>1</v>
      </c>
      <c r="G231">
        <v>1</v>
      </c>
      <c r="H231">
        <v>3</v>
      </c>
      <c r="I231" t="s">
        <v>852</v>
      </c>
      <c r="J231" t="s">
        <v>853</v>
      </c>
      <c r="K231" t="s">
        <v>854</v>
      </c>
      <c r="L231">
        <v>1301</v>
      </c>
      <c r="N231">
        <v>1003</v>
      </c>
      <c r="O231" t="s">
        <v>208</v>
      </c>
      <c r="P231" t="s">
        <v>208</v>
      </c>
      <c r="Q231">
        <v>1</v>
      </c>
      <c r="W231">
        <v>0</v>
      </c>
      <c r="X231">
        <v>-920645879</v>
      </c>
      <c r="Y231">
        <v>116</v>
      </c>
      <c r="AA231">
        <v>5.66</v>
      </c>
      <c r="AB231">
        <v>0</v>
      </c>
      <c r="AC231">
        <v>0</v>
      </c>
      <c r="AD231">
        <v>0</v>
      </c>
      <c r="AE231">
        <v>0.85</v>
      </c>
      <c r="AF231">
        <v>0</v>
      </c>
      <c r="AG231">
        <v>0</v>
      </c>
      <c r="AH231">
        <v>0</v>
      </c>
      <c r="AI231">
        <v>6.66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3</v>
      </c>
      <c r="AT231">
        <v>116</v>
      </c>
      <c r="AU231" t="s">
        <v>3</v>
      </c>
      <c r="AV231">
        <v>0</v>
      </c>
      <c r="AW231">
        <v>2</v>
      </c>
      <c r="AX231">
        <v>48371812</v>
      </c>
      <c r="AY231">
        <v>1</v>
      </c>
      <c r="AZ231">
        <v>0</v>
      </c>
      <c r="BA231">
        <v>232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Y231*Source!I104</f>
        <v>2.4359999999999999</v>
      </c>
      <c r="CY231">
        <f t="shared" si="18"/>
        <v>5.66</v>
      </c>
      <c r="CZ231">
        <f t="shared" si="19"/>
        <v>0.85</v>
      </c>
      <c r="DA231">
        <f t="shared" si="20"/>
        <v>6.66</v>
      </c>
      <c r="DB231">
        <v>0</v>
      </c>
    </row>
    <row r="232" spans="1:106">
      <c r="A232">
        <f>ROW(Source!A104)</f>
        <v>104</v>
      </c>
      <c r="B232">
        <v>48370320</v>
      </c>
      <c r="C232">
        <v>48371800</v>
      </c>
      <c r="D232">
        <v>37733783</v>
      </c>
      <c r="E232">
        <v>1</v>
      </c>
      <c r="F232">
        <v>1</v>
      </c>
      <c r="G232">
        <v>1</v>
      </c>
      <c r="H232">
        <v>3</v>
      </c>
      <c r="I232" t="s">
        <v>855</v>
      </c>
      <c r="J232" t="s">
        <v>856</v>
      </c>
      <c r="K232" t="s">
        <v>857</v>
      </c>
      <c r="L232">
        <v>1327</v>
      </c>
      <c r="N232">
        <v>1005</v>
      </c>
      <c r="O232" t="s">
        <v>189</v>
      </c>
      <c r="P232" t="s">
        <v>189</v>
      </c>
      <c r="Q232">
        <v>1</v>
      </c>
      <c r="W232">
        <v>0</v>
      </c>
      <c r="X232">
        <v>-365485542</v>
      </c>
      <c r="Y232">
        <v>107</v>
      </c>
      <c r="AA232">
        <v>71.89</v>
      </c>
      <c r="AB232">
        <v>0</v>
      </c>
      <c r="AC232">
        <v>0</v>
      </c>
      <c r="AD232">
        <v>0</v>
      </c>
      <c r="AE232">
        <v>15.23</v>
      </c>
      <c r="AF232">
        <v>0</v>
      </c>
      <c r="AG232">
        <v>0</v>
      </c>
      <c r="AH232">
        <v>0</v>
      </c>
      <c r="AI232">
        <v>4.72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3</v>
      </c>
      <c r="AT232">
        <v>107</v>
      </c>
      <c r="AU232" t="s">
        <v>3</v>
      </c>
      <c r="AV232">
        <v>0</v>
      </c>
      <c r="AW232">
        <v>2</v>
      </c>
      <c r="AX232">
        <v>48371813</v>
      </c>
      <c r="AY232">
        <v>1</v>
      </c>
      <c r="AZ232">
        <v>0</v>
      </c>
      <c r="BA232">
        <v>233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Y232*Source!I104</f>
        <v>2.2470000000000003</v>
      </c>
      <c r="CY232">
        <f t="shared" si="18"/>
        <v>71.89</v>
      </c>
      <c r="CZ232">
        <f t="shared" si="19"/>
        <v>15.23</v>
      </c>
      <c r="DA232">
        <f t="shared" si="20"/>
        <v>4.72</v>
      </c>
      <c r="DB232">
        <v>0</v>
      </c>
    </row>
    <row r="233" spans="1:106">
      <c r="A233">
        <f>ROW(Source!A104)</f>
        <v>104</v>
      </c>
      <c r="B233">
        <v>48370320</v>
      </c>
      <c r="C233">
        <v>48371800</v>
      </c>
      <c r="D233">
        <v>37737327</v>
      </c>
      <c r="E233">
        <v>1</v>
      </c>
      <c r="F233">
        <v>1</v>
      </c>
      <c r="G233">
        <v>1</v>
      </c>
      <c r="H233">
        <v>3</v>
      </c>
      <c r="I233" t="s">
        <v>858</v>
      </c>
      <c r="J233" t="s">
        <v>859</v>
      </c>
      <c r="K233" t="s">
        <v>860</v>
      </c>
      <c r="L233">
        <v>1354</v>
      </c>
      <c r="N233">
        <v>1010</v>
      </c>
      <c r="O233" t="s">
        <v>220</v>
      </c>
      <c r="P233" t="s">
        <v>220</v>
      </c>
      <c r="Q233">
        <v>1</v>
      </c>
      <c r="W233">
        <v>0</v>
      </c>
      <c r="X233">
        <v>-116111372</v>
      </c>
      <c r="Y233">
        <v>1855</v>
      </c>
      <c r="AA233">
        <v>0.17</v>
      </c>
      <c r="AB233">
        <v>0</v>
      </c>
      <c r="AC233">
        <v>0</v>
      </c>
      <c r="AD233">
        <v>0</v>
      </c>
      <c r="AE233">
        <v>0.02</v>
      </c>
      <c r="AF233">
        <v>0</v>
      </c>
      <c r="AG233">
        <v>0</v>
      </c>
      <c r="AH233">
        <v>0</v>
      </c>
      <c r="AI233">
        <v>8.5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3</v>
      </c>
      <c r="AT233">
        <v>1855</v>
      </c>
      <c r="AU233" t="s">
        <v>3</v>
      </c>
      <c r="AV233">
        <v>0</v>
      </c>
      <c r="AW233">
        <v>2</v>
      </c>
      <c r="AX233">
        <v>48371814</v>
      </c>
      <c r="AY233">
        <v>1</v>
      </c>
      <c r="AZ233">
        <v>0</v>
      </c>
      <c r="BA233">
        <v>234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Y233*Source!I104</f>
        <v>38.955000000000005</v>
      </c>
      <c r="CY233">
        <f t="shared" si="18"/>
        <v>0.17</v>
      </c>
      <c r="CZ233">
        <f t="shared" si="19"/>
        <v>0.02</v>
      </c>
      <c r="DA233">
        <f t="shared" si="20"/>
        <v>8.5</v>
      </c>
      <c r="DB233">
        <v>0</v>
      </c>
    </row>
    <row r="234" spans="1:106">
      <c r="A234">
        <f>ROW(Source!A104)</f>
        <v>104</v>
      </c>
      <c r="B234">
        <v>48370320</v>
      </c>
      <c r="C234">
        <v>48371800</v>
      </c>
      <c r="D234">
        <v>37737073</v>
      </c>
      <c r="E234">
        <v>1</v>
      </c>
      <c r="F234">
        <v>1</v>
      </c>
      <c r="G234">
        <v>1</v>
      </c>
      <c r="H234">
        <v>3</v>
      </c>
      <c r="I234" t="s">
        <v>861</v>
      </c>
      <c r="J234" t="s">
        <v>862</v>
      </c>
      <c r="K234" t="s">
        <v>863</v>
      </c>
      <c r="L234">
        <v>1354</v>
      </c>
      <c r="N234">
        <v>1010</v>
      </c>
      <c r="O234" t="s">
        <v>220</v>
      </c>
      <c r="P234" t="s">
        <v>220</v>
      </c>
      <c r="Q234">
        <v>1</v>
      </c>
      <c r="W234">
        <v>0</v>
      </c>
      <c r="X234">
        <v>-874589009</v>
      </c>
      <c r="Y234">
        <v>153</v>
      </c>
      <c r="AA234">
        <v>0.56999999999999995</v>
      </c>
      <c r="AB234">
        <v>0</v>
      </c>
      <c r="AC234">
        <v>0</v>
      </c>
      <c r="AD234">
        <v>0</v>
      </c>
      <c r="AE234">
        <v>0.08</v>
      </c>
      <c r="AF234">
        <v>0</v>
      </c>
      <c r="AG234">
        <v>0</v>
      </c>
      <c r="AH234">
        <v>0</v>
      </c>
      <c r="AI234">
        <v>7.13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3</v>
      </c>
      <c r="AT234">
        <v>153</v>
      </c>
      <c r="AU234" t="s">
        <v>3</v>
      </c>
      <c r="AV234">
        <v>0</v>
      </c>
      <c r="AW234">
        <v>2</v>
      </c>
      <c r="AX234">
        <v>48371815</v>
      </c>
      <c r="AY234">
        <v>1</v>
      </c>
      <c r="AZ234">
        <v>0</v>
      </c>
      <c r="BA234">
        <v>235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Y234*Source!I104</f>
        <v>3.2130000000000001</v>
      </c>
      <c r="CY234">
        <f t="shared" si="18"/>
        <v>0.56999999999999995</v>
      </c>
      <c r="CZ234">
        <f t="shared" si="19"/>
        <v>0.08</v>
      </c>
      <c r="DA234">
        <f t="shared" si="20"/>
        <v>7.13</v>
      </c>
      <c r="DB234">
        <v>0</v>
      </c>
    </row>
    <row r="235" spans="1:106">
      <c r="A235">
        <f>ROW(Source!A104)</f>
        <v>104</v>
      </c>
      <c r="B235">
        <v>48370320</v>
      </c>
      <c r="C235">
        <v>48371800</v>
      </c>
      <c r="D235">
        <v>37751559</v>
      </c>
      <c r="E235">
        <v>1</v>
      </c>
      <c r="F235">
        <v>1</v>
      </c>
      <c r="G235">
        <v>1</v>
      </c>
      <c r="H235">
        <v>3</v>
      </c>
      <c r="I235" t="s">
        <v>864</v>
      </c>
      <c r="J235" t="s">
        <v>865</v>
      </c>
      <c r="K235" t="s">
        <v>866</v>
      </c>
      <c r="L235">
        <v>1301</v>
      </c>
      <c r="N235">
        <v>1003</v>
      </c>
      <c r="O235" t="s">
        <v>208</v>
      </c>
      <c r="P235" t="s">
        <v>208</v>
      </c>
      <c r="Q235">
        <v>1</v>
      </c>
      <c r="W235">
        <v>0</v>
      </c>
      <c r="X235">
        <v>550970338</v>
      </c>
      <c r="Y235">
        <v>121</v>
      </c>
      <c r="AA235">
        <v>43.11</v>
      </c>
      <c r="AB235">
        <v>0</v>
      </c>
      <c r="AC235">
        <v>0</v>
      </c>
      <c r="AD235">
        <v>0</v>
      </c>
      <c r="AE235">
        <v>7.01</v>
      </c>
      <c r="AF235">
        <v>0</v>
      </c>
      <c r="AG235">
        <v>0</v>
      </c>
      <c r="AH235">
        <v>0</v>
      </c>
      <c r="AI235">
        <v>6.15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3</v>
      </c>
      <c r="AT235">
        <v>121</v>
      </c>
      <c r="AU235" t="s">
        <v>3</v>
      </c>
      <c r="AV235">
        <v>0</v>
      </c>
      <c r="AW235">
        <v>2</v>
      </c>
      <c r="AX235">
        <v>48371816</v>
      </c>
      <c r="AY235">
        <v>1</v>
      </c>
      <c r="AZ235">
        <v>0</v>
      </c>
      <c r="BA235">
        <v>236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Y235*Source!I104</f>
        <v>2.5410000000000004</v>
      </c>
      <c r="CY235">
        <f t="shared" si="18"/>
        <v>43.11</v>
      </c>
      <c r="CZ235">
        <f t="shared" si="19"/>
        <v>7.01</v>
      </c>
      <c r="DA235">
        <f t="shared" si="20"/>
        <v>6.15</v>
      </c>
      <c r="DB235">
        <v>0</v>
      </c>
    </row>
    <row r="236" spans="1:106">
      <c r="A236">
        <f>ROW(Source!A104)</f>
        <v>104</v>
      </c>
      <c r="B236">
        <v>48370320</v>
      </c>
      <c r="C236">
        <v>48371800</v>
      </c>
      <c r="D236">
        <v>37751595</v>
      </c>
      <c r="E236">
        <v>1</v>
      </c>
      <c r="F236">
        <v>1</v>
      </c>
      <c r="G236">
        <v>1</v>
      </c>
      <c r="H236">
        <v>3</v>
      </c>
      <c r="I236" t="s">
        <v>867</v>
      </c>
      <c r="J236" t="s">
        <v>868</v>
      </c>
      <c r="K236" t="s">
        <v>869</v>
      </c>
      <c r="L236">
        <v>1301</v>
      </c>
      <c r="N236">
        <v>1003</v>
      </c>
      <c r="O236" t="s">
        <v>208</v>
      </c>
      <c r="P236" t="s">
        <v>208</v>
      </c>
      <c r="Q236">
        <v>1</v>
      </c>
      <c r="W236">
        <v>0</v>
      </c>
      <c r="X236">
        <v>-300833059</v>
      </c>
      <c r="Y236">
        <v>225</v>
      </c>
      <c r="AA236">
        <v>50.14</v>
      </c>
      <c r="AB236">
        <v>0</v>
      </c>
      <c r="AC236">
        <v>0</v>
      </c>
      <c r="AD236">
        <v>0</v>
      </c>
      <c r="AE236">
        <v>8.18</v>
      </c>
      <c r="AF236">
        <v>0</v>
      </c>
      <c r="AG236">
        <v>0</v>
      </c>
      <c r="AH236">
        <v>0</v>
      </c>
      <c r="AI236">
        <v>6.13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3</v>
      </c>
      <c r="AT236">
        <v>225</v>
      </c>
      <c r="AU236" t="s">
        <v>3</v>
      </c>
      <c r="AV236">
        <v>0</v>
      </c>
      <c r="AW236">
        <v>2</v>
      </c>
      <c r="AX236">
        <v>48371817</v>
      </c>
      <c r="AY236">
        <v>1</v>
      </c>
      <c r="AZ236">
        <v>0</v>
      </c>
      <c r="BA236">
        <v>237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Y236*Source!I104</f>
        <v>4.7250000000000005</v>
      </c>
      <c r="CY236">
        <f t="shared" si="18"/>
        <v>50.14</v>
      </c>
      <c r="CZ236">
        <f t="shared" si="19"/>
        <v>8.18</v>
      </c>
      <c r="DA236">
        <f t="shared" si="20"/>
        <v>6.13</v>
      </c>
      <c r="DB236">
        <v>0</v>
      </c>
    </row>
    <row r="237" spans="1:106">
      <c r="A237">
        <f>ROW(Source!A104)</f>
        <v>104</v>
      </c>
      <c r="B237">
        <v>48370320</v>
      </c>
      <c r="C237">
        <v>48371800</v>
      </c>
      <c r="D237">
        <v>37751610</v>
      </c>
      <c r="E237">
        <v>1</v>
      </c>
      <c r="F237">
        <v>1</v>
      </c>
      <c r="G237">
        <v>1</v>
      </c>
      <c r="H237">
        <v>3</v>
      </c>
      <c r="I237" t="s">
        <v>870</v>
      </c>
      <c r="J237" t="s">
        <v>871</v>
      </c>
      <c r="K237" t="s">
        <v>872</v>
      </c>
      <c r="L237">
        <v>1301</v>
      </c>
      <c r="N237">
        <v>1003</v>
      </c>
      <c r="O237" t="s">
        <v>208</v>
      </c>
      <c r="P237" t="s">
        <v>208</v>
      </c>
      <c r="Q237">
        <v>1</v>
      </c>
      <c r="W237">
        <v>0</v>
      </c>
      <c r="X237">
        <v>1564121718</v>
      </c>
      <c r="Y237">
        <v>46</v>
      </c>
      <c r="AA237">
        <v>20.28</v>
      </c>
      <c r="AB237">
        <v>0</v>
      </c>
      <c r="AC237">
        <v>0</v>
      </c>
      <c r="AD237">
        <v>0</v>
      </c>
      <c r="AE237">
        <v>3.23</v>
      </c>
      <c r="AF237">
        <v>0</v>
      </c>
      <c r="AG237">
        <v>0</v>
      </c>
      <c r="AH237">
        <v>0</v>
      </c>
      <c r="AI237">
        <v>6.28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3</v>
      </c>
      <c r="AT237">
        <v>46</v>
      </c>
      <c r="AU237" t="s">
        <v>3</v>
      </c>
      <c r="AV237">
        <v>0</v>
      </c>
      <c r="AW237">
        <v>2</v>
      </c>
      <c r="AX237">
        <v>48371818</v>
      </c>
      <c r="AY237">
        <v>1</v>
      </c>
      <c r="AZ237">
        <v>0</v>
      </c>
      <c r="BA237">
        <v>238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Y237*Source!I104</f>
        <v>0.96600000000000008</v>
      </c>
      <c r="CY237">
        <f t="shared" si="18"/>
        <v>20.28</v>
      </c>
      <c r="CZ237">
        <f t="shared" si="19"/>
        <v>3.23</v>
      </c>
      <c r="DA237">
        <f t="shared" si="20"/>
        <v>6.28</v>
      </c>
      <c r="DB237">
        <v>0</v>
      </c>
    </row>
    <row r="238" spans="1:106">
      <c r="A238">
        <f>ROW(Source!A141)</f>
        <v>141</v>
      </c>
      <c r="B238">
        <v>48370320</v>
      </c>
      <c r="C238">
        <v>48371877</v>
      </c>
      <c r="D238">
        <v>23129555</v>
      </c>
      <c r="E238">
        <v>1</v>
      </c>
      <c r="F238">
        <v>1</v>
      </c>
      <c r="G238">
        <v>1</v>
      </c>
      <c r="H238">
        <v>1</v>
      </c>
      <c r="I238" t="s">
        <v>560</v>
      </c>
      <c r="J238" t="s">
        <v>3</v>
      </c>
      <c r="K238" t="s">
        <v>561</v>
      </c>
      <c r="L238">
        <v>1369</v>
      </c>
      <c r="N238">
        <v>1013</v>
      </c>
      <c r="O238" t="s">
        <v>510</v>
      </c>
      <c r="P238" t="s">
        <v>510</v>
      </c>
      <c r="Q238">
        <v>1</v>
      </c>
      <c r="W238">
        <v>0</v>
      </c>
      <c r="X238">
        <v>1250814213</v>
      </c>
      <c r="Y238">
        <v>11.39</v>
      </c>
      <c r="AA238">
        <v>0</v>
      </c>
      <c r="AB238">
        <v>0</v>
      </c>
      <c r="AC238">
        <v>0</v>
      </c>
      <c r="AD238">
        <v>7.29</v>
      </c>
      <c r="AE238">
        <v>0</v>
      </c>
      <c r="AF238">
        <v>0</v>
      </c>
      <c r="AG238">
        <v>0</v>
      </c>
      <c r="AH238">
        <v>7.29</v>
      </c>
      <c r="AI238">
        <v>1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3</v>
      </c>
      <c r="AT238">
        <v>11.39</v>
      </c>
      <c r="AU238" t="s">
        <v>3</v>
      </c>
      <c r="AV238">
        <v>1</v>
      </c>
      <c r="AW238">
        <v>2</v>
      </c>
      <c r="AX238">
        <v>48371878</v>
      </c>
      <c r="AY238">
        <v>1</v>
      </c>
      <c r="AZ238">
        <v>0</v>
      </c>
      <c r="BA238">
        <v>239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Y238*Source!I141</f>
        <v>4.0867320000000005</v>
      </c>
      <c r="CY238">
        <f>AD238</f>
        <v>7.29</v>
      </c>
      <c r="CZ238">
        <f>AH238</f>
        <v>7.29</v>
      </c>
      <c r="DA238">
        <f>AL238</f>
        <v>1</v>
      </c>
      <c r="DB238">
        <v>0</v>
      </c>
    </row>
    <row r="239" spans="1:106">
      <c r="A239">
        <f>ROW(Source!A141)</f>
        <v>141</v>
      </c>
      <c r="B239">
        <v>48370320</v>
      </c>
      <c r="C239">
        <v>48371877</v>
      </c>
      <c r="D239">
        <v>121548</v>
      </c>
      <c r="E239">
        <v>1</v>
      </c>
      <c r="F239">
        <v>1</v>
      </c>
      <c r="G239">
        <v>1</v>
      </c>
      <c r="H239">
        <v>1</v>
      </c>
      <c r="I239" t="s">
        <v>24</v>
      </c>
      <c r="J239" t="s">
        <v>3</v>
      </c>
      <c r="K239" t="s">
        <v>511</v>
      </c>
      <c r="L239">
        <v>608254</v>
      </c>
      <c r="N239">
        <v>1013</v>
      </c>
      <c r="O239" t="s">
        <v>512</v>
      </c>
      <c r="P239" t="s">
        <v>512</v>
      </c>
      <c r="Q239">
        <v>1</v>
      </c>
      <c r="W239">
        <v>0</v>
      </c>
      <c r="X239">
        <v>-185737400</v>
      </c>
      <c r="Y239">
        <v>0.13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3</v>
      </c>
      <c r="AT239">
        <v>0.13</v>
      </c>
      <c r="AU239" t="s">
        <v>3</v>
      </c>
      <c r="AV239">
        <v>2</v>
      </c>
      <c r="AW239">
        <v>2</v>
      </c>
      <c r="AX239">
        <v>48371879</v>
      </c>
      <c r="AY239">
        <v>1</v>
      </c>
      <c r="AZ239">
        <v>0</v>
      </c>
      <c r="BA239">
        <v>240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Y239*Source!I141</f>
        <v>4.6644000000000005E-2</v>
      </c>
      <c r="CY239">
        <f>AD239</f>
        <v>0</v>
      </c>
      <c r="CZ239">
        <f>AH239</f>
        <v>0</v>
      </c>
      <c r="DA239">
        <f>AL239</f>
        <v>1</v>
      </c>
      <c r="DB239">
        <v>0</v>
      </c>
    </row>
    <row r="240" spans="1:106">
      <c r="A240">
        <f>ROW(Source!A141)</f>
        <v>141</v>
      </c>
      <c r="B240">
        <v>48370320</v>
      </c>
      <c r="C240">
        <v>48371877</v>
      </c>
      <c r="D240">
        <v>37802578</v>
      </c>
      <c r="E240">
        <v>1</v>
      </c>
      <c r="F240">
        <v>1</v>
      </c>
      <c r="G240">
        <v>1</v>
      </c>
      <c r="H240">
        <v>2</v>
      </c>
      <c r="I240" t="s">
        <v>550</v>
      </c>
      <c r="J240" t="s">
        <v>551</v>
      </c>
      <c r="K240" t="s">
        <v>552</v>
      </c>
      <c r="L240">
        <v>1368</v>
      </c>
      <c r="N240">
        <v>1011</v>
      </c>
      <c r="O240" t="s">
        <v>516</v>
      </c>
      <c r="P240" t="s">
        <v>516</v>
      </c>
      <c r="Q240">
        <v>1</v>
      </c>
      <c r="W240">
        <v>0</v>
      </c>
      <c r="X240">
        <v>1753337916</v>
      </c>
      <c r="Y240">
        <v>0.13</v>
      </c>
      <c r="AA240">
        <v>0</v>
      </c>
      <c r="AB240">
        <v>327.64</v>
      </c>
      <c r="AC240">
        <v>252.65</v>
      </c>
      <c r="AD240">
        <v>0</v>
      </c>
      <c r="AE240">
        <v>0</v>
      </c>
      <c r="AF240">
        <v>32.090000000000003</v>
      </c>
      <c r="AG240">
        <v>12.1</v>
      </c>
      <c r="AH240">
        <v>0</v>
      </c>
      <c r="AI240">
        <v>1</v>
      </c>
      <c r="AJ240">
        <v>10.210000000000001</v>
      </c>
      <c r="AK240">
        <v>20.88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3</v>
      </c>
      <c r="AT240">
        <v>0.13</v>
      </c>
      <c r="AU240" t="s">
        <v>3</v>
      </c>
      <c r="AV240">
        <v>0</v>
      </c>
      <c r="AW240">
        <v>2</v>
      </c>
      <c r="AX240">
        <v>48371880</v>
      </c>
      <c r="AY240">
        <v>1</v>
      </c>
      <c r="AZ240">
        <v>0</v>
      </c>
      <c r="BA240">
        <v>241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Y240*Source!I141</f>
        <v>4.6644000000000005E-2</v>
      </c>
      <c r="CY240">
        <f>AB240</f>
        <v>327.64</v>
      </c>
      <c r="CZ240">
        <f>AF240</f>
        <v>32.090000000000003</v>
      </c>
      <c r="DA240">
        <f>AJ240</f>
        <v>10.210000000000001</v>
      </c>
      <c r="DB240">
        <v>0</v>
      </c>
    </row>
    <row r="241" spans="1:106">
      <c r="A241">
        <f>ROW(Source!A141)</f>
        <v>141</v>
      </c>
      <c r="B241">
        <v>48370320</v>
      </c>
      <c r="C241">
        <v>48371877</v>
      </c>
      <c r="D241">
        <v>37792787</v>
      </c>
      <c r="E241">
        <v>1</v>
      </c>
      <c r="F241">
        <v>1</v>
      </c>
      <c r="G241">
        <v>1</v>
      </c>
      <c r="H241">
        <v>3</v>
      </c>
      <c r="I241" t="s">
        <v>555</v>
      </c>
      <c r="J241" t="s">
        <v>556</v>
      </c>
      <c r="K241" t="s">
        <v>557</v>
      </c>
      <c r="L241">
        <v>1348</v>
      </c>
      <c r="N241">
        <v>1009</v>
      </c>
      <c r="O241" t="s">
        <v>536</v>
      </c>
      <c r="P241" t="s">
        <v>536</v>
      </c>
      <c r="Q241">
        <v>1000</v>
      </c>
      <c r="W241">
        <v>0</v>
      </c>
      <c r="X241">
        <v>-150994421</v>
      </c>
      <c r="Y241">
        <v>0.47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0</v>
      </c>
      <c r="AP241">
        <v>0</v>
      </c>
      <c r="AQ241">
        <v>0</v>
      </c>
      <c r="AR241">
        <v>0</v>
      </c>
      <c r="AS241" t="s">
        <v>3</v>
      </c>
      <c r="AT241">
        <v>0.47</v>
      </c>
      <c r="AU241" t="s">
        <v>3</v>
      </c>
      <c r="AV241">
        <v>0</v>
      </c>
      <c r="AW241">
        <v>2</v>
      </c>
      <c r="AX241">
        <v>48371881</v>
      </c>
      <c r="AY241">
        <v>1</v>
      </c>
      <c r="AZ241">
        <v>0</v>
      </c>
      <c r="BA241">
        <v>242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Y241*Source!I141</f>
        <v>0.16863599999999998</v>
      </c>
      <c r="CY241">
        <f>AA241</f>
        <v>0</v>
      </c>
      <c r="CZ241">
        <f>AE241</f>
        <v>0</v>
      </c>
      <c r="DA241">
        <f>AI241</f>
        <v>1</v>
      </c>
      <c r="DB241">
        <v>0</v>
      </c>
    </row>
    <row r="242" spans="1:106">
      <c r="A242">
        <f>ROW(Source!A142)</f>
        <v>142</v>
      </c>
      <c r="B242">
        <v>48370320</v>
      </c>
      <c r="C242">
        <v>48372012</v>
      </c>
      <c r="D242">
        <v>23129555</v>
      </c>
      <c r="E242">
        <v>1</v>
      </c>
      <c r="F242">
        <v>1</v>
      </c>
      <c r="G242">
        <v>1</v>
      </c>
      <c r="H242">
        <v>1</v>
      </c>
      <c r="I242" t="s">
        <v>560</v>
      </c>
      <c r="J242" t="s">
        <v>3</v>
      </c>
      <c r="K242" t="s">
        <v>561</v>
      </c>
      <c r="L242">
        <v>1369</v>
      </c>
      <c r="N242">
        <v>1013</v>
      </c>
      <c r="O242" t="s">
        <v>510</v>
      </c>
      <c r="P242" t="s">
        <v>510</v>
      </c>
      <c r="Q242">
        <v>1</v>
      </c>
      <c r="W242">
        <v>0</v>
      </c>
      <c r="X242">
        <v>1250814213</v>
      </c>
      <c r="Y242">
        <v>3.77</v>
      </c>
      <c r="AA242">
        <v>0</v>
      </c>
      <c r="AB242">
        <v>0</v>
      </c>
      <c r="AC242">
        <v>0</v>
      </c>
      <c r="AD242">
        <v>7.29</v>
      </c>
      <c r="AE242">
        <v>0</v>
      </c>
      <c r="AF242">
        <v>0</v>
      </c>
      <c r="AG242">
        <v>0</v>
      </c>
      <c r="AH242">
        <v>7.29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3</v>
      </c>
      <c r="AT242">
        <v>3.77</v>
      </c>
      <c r="AU242" t="s">
        <v>3</v>
      </c>
      <c r="AV242">
        <v>1</v>
      </c>
      <c r="AW242">
        <v>2</v>
      </c>
      <c r="AX242">
        <v>48372015</v>
      </c>
      <c r="AY242">
        <v>1</v>
      </c>
      <c r="AZ242">
        <v>0</v>
      </c>
      <c r="BA242">
        <v>243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Y242*Source!I142</f>
        <v>1.2064000000000001</v>
      </c>
      <c r="CY242">
        <f>AD242</f>
        <v>7.29</v>
      </c>
      <c r="CZ242">
        <f>AH242</f>
        <v>7.29</v>
      </c>
      <c r="DA242">
        <f>AL242</f>
        <v>1</v>
      </c>
      <c r="DB242">
        <v>0</v>
      </c>
    </row>
    <row r="243" spans="1:106">
      <c r="A243">
        <f>ROW(Source!A142)</f>
        <v>142</v>
      </c>
      <c r="B243">
        <v>48370320</v>
      </c>
      <c r="C243">
        <v>48372012</v>
      </c>
      <c r="D243">
        <v>37792787</v>
      </c>
      <c r="E243">
        <v>1</v>
      </c>
      <c r="F243">
        <v>1</v>
      </c>
      <c r="G243">
        <v>1</v>
      </c>
      <c r="H243">
        <v>3</v>
      </c>
      <c r="I243" t="s">
        <v>555</v>
      </c>
      <c r="J243" t="s">
        <v>556</v>
      </c>
      <c r="K243" t="s">
        <v>557</v>
      </c>
      <c r="L243">
        <v>1348</v>
      </c>
      <c r="N243">
        <v>1009</v>
      </c>
      <c r="O243" t="s">
        <v>536</v>
      </c>
      <c r="P243" t="s">
        <v>536</v>
      </c>
      <c r="Q243">
        <v>1000</v>
      </c>
      <c r="W243">
        <v>0</v>
      </c>
      <c r="X243">
        <v>-150994421</v>
      </c>
      <c r="Y243">
        <v>0.11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0</v>
      </c>
      <c r="AP243">
        <v>0</v>
      </c>
      <c r="AQ243">
        <v>0</v>
      </c>
      <c r="AR243">
        <v>0</v>
      </c>
      <c r="AS243" t="s">
        <v>3</v>
      </c>
      <c r="AT243">
        <v>0.11</v>
      </c>
      <c r="AU243" t="s">
        <v>3</v>
      </c>
      <c r="AV243">
        <v>0</v>
      </c>
      <c r="AW243">
        <v>2</v>
      </c>
      <c r="AX243">
        <v>48372016</v>
      </c>
      <c r="AY243">
        <v>1</v>
      </c>
      <c r="AZ243">
        <v>0</v>
      </c>
      <c r="BA243">
        <v>244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Y243*Source!I142</f>
        <v>3.5200000000000002E-2</v>
      </c>
      <c r="CY243">
        <f>AA243</f>
        <v>0</v>
      </c>
      <c r="CZ243">
        <f>AE243</f>
        <v>0</v>
      </c>
      <c r="DA243">
        <f>AI243</f>
        <v>1</v>
      </c>
      <c r="DB243">
        <v>0</v>
      </c>
    </row>
    <row r="244" spans="1:106">
      <c r="A244">
        <f>ROW(Source!A143)</f>
        <v>143</v>
      </c>
      <c r="B244">
        <v>48370320</v>
      </c>
      <c r="C244">
        <v>48371884</v>
      </c>
      <c r="D244">
        <v>23241114</v>
      </c>
      <c r="E244">
        <v>1</v>
      </c>
      <c r="F244">
        <v>1</v>
      </c>
      <c r="G244">
        <v>1</v>
      </c>
      <c r="H244">
        <v>1</v>
      </c>
      <c r="I244" t="s">
        <v>873</v>
      </c>
      <c r="J244" t="s">
        <v>3</v>
      </c>
      <c r="K244" t="s">
        <v>874</v>
      </c>
      <c r="L244">
        <v>1369</v>
      </c>
      <c r="N244">
        <v>1013</v>
      </c>
      <c r="O244" t="s">
        <v>510</v>
      </c>
      <c r="P244" t="s">
        <v>510</v>
      </c>
      <c r="Q244">
        <v>1</v>
      </c>
      <c r="W244">
        <v>0</v>
      </c>
      <c r="X244">
        <v>-845138845</v>
      </c>
      <c r="Y244">
        <v>12.3</v>
      </c>
      <c r="AA244">
        <v>0</v>
      </c>
      <c r="AB244">
        <v>0</v>
      </c>
      <c r="AC244">
        <v>0</v>
      </c>
      <c r="AD244">
        <v>7.06</v>
      </c>
      <c r="AE244">
        <v>0</v>
      </c>
      <c r="AF244">
        <v>0</v>
      </c>
      <c r="AG244">
        <v>0</v>
      </c>
      <c r="AH244">
        <v>7.06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3</v>
      </c>
      <c r="AT244">
        <v>12.3</v>
      </c>
      <c r="AU244" t="s">
        <v>3</v>
      </c>
      <c r="AV244">
        <v>1</v>
      </c>
      <c r="AW244">
        <v>2</v>
      </c>
      <c r="AX244">
        <v>48371885</v>
      </c>
      <c r="AY244">
        <v>1</v>
      </c>
      <c r="AZ244">
        <v>0</v>
      </c>
      <c r="BA244">
        <v>245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Y244*Source!I143</f>
        <v>2.5510200000000003</v>
      </c>
      <c r="CY244">
        <f>AD244</f>
        <v>7.06</v>
      </c>
      <c r="CZ244">
        <f>AH244</f>
        <v>7.06</v>
      </c>
      <c r="DA244">
        <f>AL244</f>
        <v>1</v>
      </c>
      <c r="DB244">
        <v>0</v>
      </c>
    </row>
    <row r="245" spans="1:106">
      <c r="A245">
        <f>ROW(Source!A143)</f>
        <v>143</v>
      </c>
      <c r="B245">
        <v>48370320</v>
      </c>
      <c r="C245">
        <v>48371884</v>
      </c>
      <c r="D245">
        <v>121548</v>
      </c>
      <c r="E245">
        <v>1</v>
      </c>
      <c r="F245">
        <v>1</v>
      </c>
      <c r="G245">
        <v>1</v>
      </c>
      <c r="H245">
        <v>1</v>
      </c>
      <c r="I245" t="s">
        <v>24</v>
      </c>
      <c r="J245" t="s">
        <v>3</v>
      </c>
      <c r="K245" t="s">
        <v>511</v>
      </c>
      <c r="L245">
        <v>608254</v>
      </c>
      <c r="N245">
        <v>1013</v>
      </c>
      <c r="O245" t="s">
        <v>512</v>
      </c>
      <c r="P245" t="s">
        <v>512</v>
      </c>
      <c r="Q245">
        <v>1</v>
      </c>
      <c r="W245">
        <v>0</v>
      </c>
      <c r="X245">
        <v>-185737400</v>
      </c>
      <c r="Y245">
        <v>0.45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1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3</v>
      </c>
      <c r="AT245">
        <v>0.45</v>
      </c>
      <c r="AU245" t="s">
        <v>3</v>
      </c>
      <c r="AV245">
        <v>2</v>
      </c>
      <c r="AW245">
        <v>2</v>
      </c>
      <c r="AX245">
        <v>48371886</v>
      </c>
      <c r="AY245">
        <v>1</v>
      </c>
      <c r="AZ245">
        <v>0</v>
      </c>
      <c r="BA245">
        <v>246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Y245*Source!I143</f>
        <v>9.3329999999999996E-2</v>
      </c>
      <c r="CY245">
        <f>AD245</f>
        <v>0</v>
      </c>
      <c r="CZ245">
        <f>AH245</f>
        <v>0</v>
      </c>
      <c r="DA245">
        <f>AL245</f>
        <v>1</v>
      </c>
      <c r="DB245">
        <v>0</v>
      </c>
    </row>
    <row r="246" spans="1:106">
      <c r="A246">
        <f>ROW(Source!A143)</f>
        <v>143</v>
      </c>
      <c r="B246">
        <v>48370320</v>
      </c>
      <c r="C246">
        <v>48371884</v>
      </c>
      <c r="D246">
        <v>37802443</v>
      </c>
      <c r="E246">
        <v>1</v>
      </c>
      <c r="F246">
        <v>1</v>
      </c>
      <c r="G246">
        <v>1</v>
      </c>
      <c r="H246">
        <v>2</v>
      </c>
      <c r="I246" t="s">
        <v>586</v>
      </c>
      <c r="J246" t="s">
        <v>587</v>
      </c>
      <c r="K246" t="s">
        <v>588</v>
      </c>
      <c r="L246">
        <v>1368</v>
      </c>
      <c r="N246">
        <v>1011</v>
      </c>
      <c r="O246" t="s">
        <v>516</v>
      </c>
      <c r="P246" t="s">
        <v>516</v>
      </c>
      <c r="Q246">
        <v>1</v>
      </c>
      <c r="W246">
        <v>0</v>
      </c>
      <c r="X246">
        <v>1447433125</v>
      </c>
      <c r="Y246">
        <v>0.45</v>
      </c>
      <c r="AA246">
        <v>0</v>
      </c>
      <c r="AB246">
        <v>981.95</v>
      </c>
      <c r="AC246">
        <v>252.65</v>
      </c>
      <c r="AD246">
        <v>0</v>
      </c>
      <c r="AE246">
        <v>0</v>
      </c>
      <c r="AF246">
        <v>124.14</v>
      </c>
      <c r="AG246">
        <v>12.1</v>
      </c>
      <c r="AH246">
        <v>0</v>
      </c>
      <c r="AI246">
        <v>1</v>
      </c>
      <c r="AJ246">
        <v>7.91</v>
      </c>
      <c r="AK246">
        <v>20.88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3</v>
      </c>
      <c r="AT246">
        <v>0.45</v>
      </c>
      <c r="AU246" t="s">
        <v>3</v>
      </c>
      <c r="AV246">
        <v>0</v>
      </c>
      <c r="AW246">
        <v>2</v>
      </c>
      <c r="AX246">
        <v>48371887</v>
      </c>
      <c r="AY246">
        <v>1</v>
      </c>
      <c r="AZ246">
        <v>0</v>
      </c>
      <c r="BA246">
        <v>247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Y246*Source!I143</f>
        <v>9.3329999999999996E-2</v>
      </c>
      <c r="CY246">
        <f>AB246</f>
        <v>981.95</v>
      </c>
      <c r="CZ246">
        <f>AF246</f>
        <v>124.14</v>
      </c>
      <c r="DA246">
        <f>AJ246</f>
        <v>7.91</v>
      </c>
      <c r="DB246">
        <v>0</v>
      </c>
    </row>
    <row r="247" spans="1:106">
      <c r="A247">
        <f>ROW(Source!A143)</f>
        <v>143</v>
      </c>
      <c r="B247">
        <v>48370320</v>
      </c>
      <c r="C247">
        <v>48371884</v>
      </c>
      <c r="D247">
        <v>37792787</v>
      </c>
      <c r="E247">
        <v>1</v>
      </c>
      <c r="F247">
        <v>1</v>
      </c>
      <c r="G247">
        <v>1</v>
      </c>
      <c r="H247">
        <v>3</v>
      </c>
      <c r="I247" t="s">
        <v>555</v>
      </c>
      <c r="J247" t="s">
        <v>556</v>
      </c>
      <c r="K247" t="s">
        <v>557</v>
      </c>
      <c r="L247">
        <v>1348</v>
      </c>
      <c r="N247">
        <v>1009</v>
      </c>
      <c r="O247" t="s">
        <v>536</v>
      </c>
      <c r="P247" t="s">
        <v>536</v>
      </c>
      <c r="Q247">
        <v>1000</v>
      </c>
      <c r="W247">
        <v>0</v>
      </c>
      <c r="X247">
        <v>-150994421</v>
      </c>
      <c r="Y247">
        <v>0.94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1</v>
      </c>
      <c r="AJ247">
        <v>1</v>
      </c>
      <c r="AK247">
        <v>1</v>
      </c>
      <c r="AL247">
        <v>1</v>
      </c>
      <c r="AN247">
        <v>0</v>
      </c>
      <c r="AO247">
        <v>0</v>
      </c>
      <c r="AP247">
        <v>0</v>
      </c>
      <c r="AQ247">
        <v>0</v>
      </c>
      <c r="AR247">
        <v>0</v>
      </c>
      <c r="AS247" t="s">
        <v>3</v>
      </c>
      <c r="AT247">
        <v>0.94</v>
      </c>
      <c r="AU247" t="s">
        <v>3</v>
      </c>
      <c r="AV247">
        <v>0</v>
      </c>
      <c r="AW247">
        <v>2</v>
      </c>
      <c r="AX247">
        <v>48371888</v>
      </c>
      <c r="AY247">
        <v>1</v>
      </c>
      <c r="AZ247">
        <v>0</v>
      </c>
      <c r="BA247">
        <v>248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Y247*Source!I143</f>
        <v>0.19495599999999999</v>
      </c>
      <c r="CY247">
        <f>AA247</f>
        <v>0</v>
      </c>
      <c r="CZ247">
        <f>AE247</f>
        <v>0</v>
      </c>
      <c r="DA247">
        <f>AI247</f>
        <v>1</v>
      </c>
      <c r="DB247">
        <v>0</v>
      </c>
    </row>
    <row r="248" spans="1:106">
      <c r="A248">
        <f>ROW(Source!A144)</f>
        <v>144</v>
      </c>
      <c r="B248">
        <v>48370320</v>
      </c>
      <c r="C248">
        <v>48371889</v>
      </c>
      <c r="D248">
        <v>23132616</v>
      </c>
      <c r="E248">
        <v>1</v>
      </c>
      <c r="F248">
        <v>1</v>
      </c>
      <c r="G248">
        <v>1</v>
      </c>
      <c r="H248">
        <v>1</v>
      </c>
      <c r="I248" t="s">
        <v>558</v>
      </c>
      <c r="J248" t="s">
        <v>3</v>
      </c>
      <c r="K248" t="s">
        <v>559</v>
      </c>
      <c r="L248">
        <v>1369</v>
      </c>
      <c r="N248">
        <v>1013</v>
      </c>
      <c r="O248" t="s">
        <v>510</v>
      </c>
      <c r="P248" t="s">
        <v>510</v>
      </c>
      <c r="Q248">
        <v>1</v>
      </c>
      <c r="W248">
        <v>0</v>
      </c>
      <c r="X248">
        <v>771296312</v>
      </c>
      <c r="Y248">
        <v>103.91</v>
      </c>
      <c r="AA248">
        <v>0</v>
      </c>
      <c r="AB248">
        <v>0</v>
      </c>
      <c r="AC248">
        <v>0</v>
      </c>
      <c r="AD248">
        <v>7.56</v>
      </c>
      <c r="AE248">
        <v>0</v>
      </c>
      <c r="AF248">
        <v>0</v>
      </c>
      <c r="AG248">
        <v>0</v>
      </c>
      <c r="AH248">
        <v>7.56</v>
      </c>
      <c r="AI248">
        <v>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3</v>
      </c>
      <c r="AT248">
        <v>103.91</v>
      </c>
      <c r="AU248" t="s">
        <v>3</v>
      </c>
      <c r="AV248">
        <v>1</v>
      </c>
      <c r="AW248">
        <v>2</v>
      </c>
      <c r="AX248">
        <v>48371893</v>
      </c>
      <c r="AY248">
        <v>1</v>
      </c>
      <c r="AZ248">
        <v>0</v>
      </c>
      <c r="BA248">
        <v>249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Y248*Source!I144</f>
        <v>5.5384029999999997</v>
      </c>
      <c r="CY248">
        <f>AD248</f>
        <v>7.56</v>
      </c>
      <c r="CZ248">
        <f>AH248</f>
        <v>7.56</v>
      </c>
      <c r="DA248">
        <f>AL248</f>
        <v>1</v>
      </c>
      <c r="DB248">
        <v>0</v>
      </c>
    </row>
    <row r="249" spans="1:106">
      <c r="A249">
        <f>ROW(Source!A144)</f>
        <v>144</v>
      </c>
      <c r="B249">
        <v>48370320</v>
      </c>
      <c r="C249">
        <v>48371889</v>
      </c>
      <c r="D249">
        <v>121548</v>
      </c>
      <c r="E249">
        <v>1</v>
      </c>
      <c r="F249">
        <v>1</v>
      </c>
      <c r="G249">
        <v>1</v>
      </c>
      <c r="H249">
        <v>1</v>
      </c>
      <c r="I249" t="s">
        <v>24</v>
      </c>
      <c r="J249" t="s">
        <v>3</v>
      </c>
      <c r="K249" t="s">
        <v>511</v>
      </c>
      <c r="L249">
        <v>608254</v>
      </c>
      <c r="N249">
        <v>1013</v>
      </c>
      <c r="O249" t="s">
        <v>512</v>
      </c>
      <c r="P249" t="s">
        <v>512</v>
      </c>
      <c r="Q249">
        <v>1</v>
      </c>
      <c r="W249">
        <v>0</v>
      </c>
      <c r="X249">
        <v>-185737400</v>
      </c>
      <c r="Y249">
        <v>7.74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3</v>
      </c>
      <c r="AT249">
        <v>7.74</v>
      </c>
      <c r="AU249" t="s">
        <v>3</v>
      </c>
      <c r="AV249">
        <v>2</v>
      </c>
      <c r="AW249">
        <v>2</v>
      </c>
      <c r="AX249">
        <v>48371894</v>
      </c>
      <c r="AY249">
        <v>1</v>
      </c>
      <c r="AZ249">
        <v>0</v>
      </c>
      <c r="BA249">
        <v>250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Y249*Source!I144</f>
        <v>0.41254200000000002</v>
      </c>
      <c r="CY249">
        <f>AD249</f>
        <v>0</v>
      </c>
      <c r="CZ249">
        <f>AH249</f>
        <v>0</v>
      </c>
      <c r="DA249">
        <f>AL249</f>
        <v>1</v>
      </c>
      <c r="DB249">
        <v>0</v>
      </c>
    </row>
    <row r="250" spans="1:106">
      <c r="A250">
        <f>ROW(Source!A144)</f>
        <v>144</v>
      </c>
      <c r="B250">
        <v>48370320</v>
      </c>
      <c r="C250">
        <v>48371889</v>
      </c>
      <c r="D250">
        <v>37802578</v>
      </c>
      <c r="E250">
        <v>1</v>
      </c>
      <c r="F250">
        <v>1</v>
      </c>
      <c r="G250">
        <v>1</v>
      </c>
      <c r="H250">
        <v>2</v>
      </c>
      <c r="I250" t="s">
        <v>550</v>
      </c>
      <c r="J250" t="s">
        <v>551</v>
      </c>
      <c r="K250" t="s">
        <v>552</v>
      </c>
      <c r="L250">
        <v>1368</v>
      </c>
      <c r="N250">
        <v>1011</v>
      </c>
      <c r="O250" t="s">
        <v>516</v>
      </c>
      <c r="P250" t="s">
        <v>516</v>
      </c>
      <c r="Q250">
        <v>1</v>
      </c>
      <c r="W250">
        <v>0</v>
      </c>
      <c r="X250">
        <v>1753337916</v>
      </c>
      <c r="Y250">
        <v>7.74</v>
      </c>
      <c r="AA250">
        <v>0</v>
      </c>
      <c r="AB250">
        <v>327.64</v>
      </c>
      <c r="AC250">
        <v>252.65</v>
      </c>
      <c r="AD250">
        <v>0</v>
      </c>
      <c r="AE250">
        <v>0</v>
      </c>
      <c r="AF250">
        <v>32.090000000000003</v>
      </c>
      <c r="AG250">
        <v>12.1</v>
      </c>
      <c r="AH250">
        <v>0</v>
      </c>
      <c r="AI250">
        <v>1</v>
      </c>
      <c r="AJ250">
        <v>10.210000000000001</v>
      </c>
      <c r="AK250">
        <v>20.88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S250" t="s">
        <v>3</v>
      </c>
      <c r="AT250">
        <v>7.74</v>
      </c>
      <c r="AU250" t="s">
        <v>3</v>
      </c>
      <c r="AV250">
        <v>0</v>
      </c>
      <c r="AW250">
        <v>2</v>
      </c>
      <c r="AX250">
        <v>48371895</v>
      </c>
      <c r="AY250">
        <v>1</v>
      </c>
      <c r="AZ250">
        <v>0</v>
      </c>
      <c r="BA250">
        <v>251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Y250*Source!I144</f>
        <v>0.41254200000000002</v>
      </c>
      <c r="CY250">
        <f>AB250</f>
        <v>327.64</v>
      </c>
      <c r="CZ250">
        <f>AF250</f>
        <v>32.090000000000003</v>
      </c>
      <c r="DA250">
        <f>AJ250</f>
        <v>10.210000000000001</v>
      </c>
      <c r="DB250">
        <v>0</v>
      </c>
    </row>
    <row r="251" spans="1:106">
      <c r="A251">
        <f>ROW(Source!A145)</f>
        <v>145</v>
      </c>
      <c r="B251">
        <v>48370320</v>
      </c>
      <c r="C251">
        <v>48371909</v>
      </c>
      <c r="D251">
        <v>23129555</v>
      </c>
      <c r="E251">
        <v>1</v>
      </c>
      <c r="F251">
        <v>1</v>
      </c>
      <c r="G251">
        <v>1</v>
      </c>
      <c r="H251">
        <v>1</v>
      </c>
      <c r="I251" t="s">
        <v>560</v>
      </c>
      <c r="J251" t="s">
        <v>3</v>
      </c>
      <c r="K251" t="s">
        <v>561</v>
      </c>
      <c r="L251">
        <v>1369</v>
      </c>
      <c r="N251">
        <v>1013</v>
      </c>
      <c r="O251" t="s">
        <v>510</v>
      </c>
      <c r="P251" t="s">
        <v>510</v>
      </c>
      <c r="Q251">
        <v>1</v>
      </c>
      <c r="W251">
        <v>0</v>
      </c>
      <c r="X251">
        <v>1250814213</v>
      </c>
      <c r="Y251">
        <v>20.8</v>
      </c>
      <c r="AA251">
        <v>0</v>
      </c>
      <c r="AB251">
        <v>0</v>
      </c>
      <c r="AC251">
        <v>0</v>
      </c>
      <c r="AD251">
        <v>7.29</v>
      </c>
      <c r="AE251">
        <v>0</v>
      </c>
      <c r="AF251">
        <v>0</v>
      </c>
      <c r="AG251">
        <v>0</v>
      </c>
      <c r="AH251">
        <v>7.29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0</v>
      </c>
      <c r="AQ251">
        <v>0</v>
      </c>
      <c r="AR251">
        <v>0</v>
      </c>
      <c r="AS251" t="s">
        <v>3</v>
      </c>
      <c r="AT251">
        <v>20.8</v>
      </c>
      <c r="AU251" t="s">
        <v>3</v>
      </c>
      <c r="AV251">
        <v>1</v>
      </c>
      <c r="AW251">
        <v>2</v>
      </c>
      <c r="AX251">
        <v>48371910</v>
      </c>
      <c r="AY251">
        <v>1</v>
      </c>
      <c r="AZ251">
        <v>0</v>
      </c>
      <c r="BA251">
        <v>252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Y251*Source!I145</f>
        <v>7.3174400000000004</v>
      </c>
      <c r="CY251">
        <f>AD251</f>
        <v>7.29</v>
      </c>
      <c r="CZ251">
        <f>AH251</f>
        <v>7.29</v>
      </c>
      <c r="DA251">
        <f>AL251</f>
        <v>1</v>
      </c>
      <c r="DB251">
        <v>0</v>
      </c>
    </row>
    <row r="252" spans="1:106">
      <c r="A252">
        <f>ROW(Source!A146)</f>
        <v>146</v>
      </c>
      <c r="B252">
        <v>48370320</v>
      </c>
      <c r="C252">
        <v>48371912</v>
      </c>
      <c r="D252">
        <v>23129555</v>
      </c>
      <c r="E252">
        <v>1</v>
      </c>
      <c r="F252">
        <v>1</v>
      </c>
      <c r="G252">
        <v>1</v>
      </c>
      <c r="H252">
        <v>1</v>
      </c>
      <c r="I252" t="s">
        <v>560</v>
      </c>
      <c r="J252" t="s">
        <v>3</v>
      </c>
      <c r="K252" t="s">
        <v>561</v>
      </c>
      <c r="L252">
        <v>1369</v>
      </c>
      <c r="N252">
        <v>1013</v>
      </c>
      <c r="O252" t="s">
        <v>510</v>
      </c>
      <c r="P252" t="s">
        <v>510</v>
      </c>
      <c r="Q252">
        <v>1</v>
      </c>
      <c r="W252">
        <v>0</v>
      </c>
      <c r="X252">
        <v>1250814213</v>
      </c>
      <c r="Y252">
        <v>20.8</v>
      </c>
      <c r="AA252">
        <v>0</v>
      </c>
      <c r="AB252">
        <v>0</v>
      </c>
      <c r="AC252">
        <v>0</v>
      </c>
      <c r="AD252">
        <v>7.29</v>
      </c>
      <c r="AE252">
        <v>0</v>
      </c>
      <c r="AF252">
        <v>0</v>
      </c>
      <c r="AG252">
        <v>0</v>
      </c>
      <c r="AH252">
        <v>7.29</v>
      </c>
      <c r="AI252">
        <v>1</v>
      </c>
      <c r="AJ252">
        <v>1</v>
      </c>
      <c r="AK252">
        <v>1</v>
      </c>
      <c r="AL252">
        <v>1</v>
      </c>
      <c r="AN252">
        <v>0</v>
      </c>
      <c r="AO252">
        <v>1</v>
      </c>
      <c r="AP252">
        <v>0</v>
      </c>
      <c r="AQ252">
        <v>0</v>
      </c>
      <c r="AR252">
        <v>0</v>
      </c>
      <c r="AS252" t="s">
        <v>3</v>
      </c>
      <c r="AT252">
        <v>20.8</v>
      </c>
      <c r="AU252" t="s">
        <v>3</v>
      </c>
      <c r="AV252">
        <v>1</v>
      </c>
      <c r="AW252">
        <v>2</v>
      </c>
      <c r="AX252">
        <v>48371914</v>
      </c>
      <c r="AY252">
        <v>1</v>
      </c>
      <c r="AZ252">
        <v>0</v>
      </c>
      <c r="BA252">
        <v>253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Y252*Source!I146</f>
        <v>9.5680000000000014</v>
      </c>
      <c r="CY252">
        <f>AD252</f>
        <v>7.29</v>
      </c>
      <c r="CZ252">
        <f>AH252</f>
        <v>7.29</v>
      </c>
      <c r="DA252">
        <f>AL252</f>
        <v>1</v>
      </c>
      <c r="DB252">
        <v>0</v>
      </c>
    </row>
    <row r="253" spans="1:106">
      <c r="A253">
        <f>ROW(Source!A147)</f>
        <v>147</v>
      </c>
      <c r="B253">
        <v>48370320</v>
      </c>
      <c r="C253">
        <v>48372791</v>
      </c>
      <c r="D253">
        <v>23129805</v>
      </c>
      <c r="E253">
        <v>1</v>
      </c>
      <c r="F253">
        <v>1</v>
      </c>
      <c r="G253">
        <v>1</v>
      </c>
      <c r="H253">
        <v>1</v>
      </c>
      <c r="I253" t="s">
        <v>553</v>
      </c>
      <c r="J253" t="s">
        <v>3</v>
      </c>
      <c r="K253" t="s">
        <v>554</v>
      </c>
      <c r="L253">
        <v>1369</v>
      </c>
      <c r="N253">
        <v>1013</v>
      </c>
      <c r="O253" t="s">
        <v>510</v>
      </c>
      <c r="P253" t="s">
        <v>510</v>
      </c>
      <c r="Q253">
        <v>1</v>
      </c>
      <c r="W253">
        <v>0</v>
      </c>
      <c r="X253">
        <v>756115135</v>
      </c>
      <c r="Y253">
        <v>51.3</v>
      </c>
      <c r="AA253">
        <v>0</v>
      </c>
      <c r="AB253">
        <v>0</v>
      </c>
      <c r="AC253">
        <v>0</v>
      </c>
      <c r="AD253">
        <v>7.97</v>
      </c>
      <c r="AE253">
        <v>0</v>
      </c>
      <c r="AF253">
        <v>0</v>
      </c>
      <c r="AG253">
        <v>0</v>
      </c>
      <c r="AH253">
        <v>7.97</v>
      </c>
      <c r="AI253">
        <v>1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S253" t="s">
        <v>3</v>
      </c>
      <c r="AT253">
        <v>51.3</v>
      </c>
      <c r="AU253" t="s">
        <v>3</v>
      </c>
      <c r="AV253">
        <v>1</v>
      </c>
      <c r="AW253">
        <v>2</v>
      </c>
      <c r="AX253">
        <v>48372796</v>
      </c>
      <c r="AY253">
        <v>1</v>
      </c>
      <c r="AZ253">
        <v>0</v>
      </c>
      <c r="BA253">
        <v>254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Y253*Source!I147</f>
        <v>0.51300000000000001</v>
      </c>
      <c r="CY253">
        <f>AD253</f>
        <v>7.97</v>
      </c>
      <c r="CZ253">
        <f>AH253</f>
        <v>7.97</v>
      </c>
      <c r="DA253">
        <f>AL253</f>
        <v>1</v>
      </c>
      <c r="DB253">
        <v>0</v>
      </c>
    </row>
    <row r="254" spans="1:106">
      <c r="A254">
        <f>ROW(Source!A147)</f>
        <v>147</v>
      </c>
      <c r="B254">
        <v>48370320</v>
      </c>
      <c r="C254">
        <v>48372791</v>
      </c>
      <c r="D254">
        <v>121548</v>
      </c>
      <c r="E254">
        <v>1</v>
      </c>
      <c r="F254">
        <v>1</v>
      </c>
      <c r="G254">
        <v>1</v>
      </c>
      <c r="H254">
        <v>1</v>
      </c>
      <c r="I254" t="s">
        <v>24</v>
      </c>
      <c r="J254" t="s">
        <v>3</v>
      </c>
      <c r="K254" t="s">
        <v>511</v>
      </c>
      <c r="L254">
        <v>608254</v>
      </c>
      <c r="N254">
        <v>1013</v>
      </c>
      <c r="O254" t="s">
        <v>512</v>
      </c>
      <c r="P254" t="s">
        <v>512</v>
      </c>
      <c r="Q254">
        <v>1</v>
      </c>
      <c r="W254">
        <v>0</v>
      </c>
      <c r="X254">
        <v>-185737400</v>
      </c>
      <c r="Y254">
        <v>0.26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1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0</v>
      </c>
      <c r="AQ254">
        <v>0</v>
      </c>
      <c r="AR254">
        <v>0</v>
      </c>
      <c r="AS254" t="s">
        <v>3</v>
      </c>
      <c r="AT254">
        <v>0.26</v>
      </c>
      <c r="AU254" t="s">
        <v>3</v>
      </c>
      <c r="AV254">
        <v>2</v>
      </c>
      <c r="AW254">
        <v>2</v>
      </c>
      <c r="AX254">
        <v>48372797</v>
      </c>
      <c r="AY254">
        <v>1</v>
      </c>
      <c r="AZ254">
        <v>0</v>
      </c>
      <c r="BA254">
        <v>255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Y254*Source!I147</f>
        <v>2.6000000000000003E-3</v>
      </c>
      <c r="CY254">
        <f>AD254</f>
        <v>0</v>
      </c>
      <c r="CZ254">
        <f>AH254</f>
        <v>0</v>
      </c>
      <c r="DA254">
        <f>AL254</f>
        <v>1</v>
      </c>
      <c r="DB254">
        <v>0</v>
      </c>
    </row>
    <row r="255" spans="1:106">
      <c r="A255">
        <f>ROW(Source!A147)</f>
        <v>147</v>
      </c>
      <c r="B255">
        <v>48370320</v>
      </c>
      <c r="C255">
        <v>48372791</v>
      </c>
      <c r="D255">
        <v>37802578</v>
      </c>
      <c r="E255">
        <v>1</v>
      </c>
      <c r="F255">
        <v>1</v>
      </c>
      <c r="G255">
        <v>1</v>
      </c>
      <c r="H255">
        <v>2</v>
      </c>
      <c r="I255" t="s">
        <v>550</v>
      </c>
      <c r="J255" t="s">
        <v>551</v>
      </c>
      <c r="K255" t="s">
        <v>552</v>
      </c>
      <c r="L255">
        <v>1368</v>
      </c>
      <c r="N255">
        <v>1011</v>
      </c>
      <c r="O255" t="s">
        <v>516</v>
      </c>
      <c r="P255" t="s">
        <v>516</v>
      </c>
      <c r="Q255">
        <v>1</v>
      </c>
      <c r="W255">
        <v>0</v>
      </c>
      <c r="X255">
        <v>1753337916</v>
      </c>
      <c r="Y255">
        <v>0.26</v>
      </c>
      <c r="AA255">
        <v>0</v>
      </c>
      <c r="AB255">
        <v>327.64</v>
      </c>
      <c r="AC255">
        <v>252.65</v>
      </c>
      <c r="AD255">
        <v>0</v>
      </c>
      <c r="AE255">
        <v>0</v>
      </c>
      <c r="AF255">
        <v>32.090000000000003</v>
      </c>
      <c r="AG255">
        <v>12.1</v>
      </c>
      <c r="AH255">
        <v>0</v>
      </c>
      <c r="AI255">
        <v>1</v>
      </c>
      <c r="AJ255">
        <v>10.210000000000001</v>
      </c>
      <c r="AK255">
        <v>20.88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3</v>
      </c>
      <c r="AT255">
        <v>0.26</v>
      </c>
      <c r="AU255" t="s">
        <v>3</v>
      </c>
      <c r="AV255">
        <v>0</v>
      </c>
      <c r="AW255">
        <v>2</v>
      </c>
      <c r="AX255">
        <v>48372798</v>
      </c>
      <c r="AY255">
        <v>1</v>
      </c>
      <c r="AZ255">
        <v>0</v>
      </c>
      <c r="BA255">
        <v>256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Y255*Source!I147</f>
        <v>2.6000000000000003E-3</v>
      </c>
      <c r="CY255">
        <f>AB255</f>
        <v>327.64</v>
      </c>
      <c r="CZ255">
        <f>AF255</f>
        <v>32.090000000000003</v>
      </c>
      <c r="DA255">
        <f>AJ255</f>
        <v>10.210000000000001</v>
      </c>
      <c r="DB255">
        <v>0</v>
      </c>
    </row>
    <row r="256" spans="1:106">
      <c r="A256">
        <f>ROW(Source!A147)</f>
        <v>147</v>
      </c>
      <c r="B256">
        <v>48370320</v>
      </c>
      <c r="C256">
        <v>48372791</v>
      </c>
      <c r="D256">
        <v>37792788</v>
      </c>
      <c r="E256">
        <v>1</v>
      </c>
      <c r="F256">
        <v>1</v>
      </c>
      <c r="G256">
        <v>1</v>
      </c>
      <c r="H256">
        <v>3</v>
      </c>
      <c r="I256" t="s">
        <v>564</v>
      </c>
      <c r="J256" t="s">
        <v>565</v>
      </c>
      <c r="K256" t="s">
        <v>566</v>
      </c>
      <c r="L256">
        <v>1348</v>
      </c>
      <c r="N256">
        <v>1009</v>
      </c>
      <c r="O256" t="s">
        <v>536</v>
      </c>
      <c r="P256" t="s">
        <v>536</v>
      </c>
      <c r="Q256">
        <v>1000</v>
      </c>
      <c r="W256">
        <v>0</v>
      </c>
      <c r="X256">
        <v>-856488199</v>
      </c>
      <c r="Y256">
        <v>1.82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0</v>
      </c>
      <c r="AP256">
        <v>0</v>
      </c>
      <c r="AQ256">
        <v>0</v>
      </c>
      <c r="AR256">
        <v>0</v>
      </c>
      <c r="AS256" t="s">
        <v>3</v>
      </c>
      <c r="AT256">
        <v>1.82</v>
      </c>
      <c r="AU256" t="s">
        <v>3</v>
      </c>
      <c r="AV256">
        <v>0</v>
      </c>
      <c r="AW256">
        <v>2</v>
      </c>
      <c r="AX256">
        <v>48372799</v>
      </c>
      <c r="AY256">
        <v>1</v>
      </c>
      <c r="AZ256">
        <v>0</v>
      </c>
      <c r="BA256">
        <v>257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Y256*Source!I147</f>
        <v>1.8200000000000001E-2</v>
      </c>
      <c r="CY256">
        <f>AA256</f>
        <v>0</v>
      </c>
      <c r="CZ256">
        <f>AE256</f>
        <v>0</v>
      </c>
      <c r="DA256">
        <f>AI256</f>
        <v>1</v>
      </c>
      <c r="DB256">
        <v>0</v>
      </c>
    </row>
    <row r="257" spans="1:106">
      <c r="A257">
        <f>ROW(Source!A149)</f>
        <v>149</v>
      </c>
      <c r="B257">
        <v>48370320</v>
      </c>
      <c r="C257">
        <v>48372024</v>
      </c>
      <c r="D257">
        <v>23136905</v>
      </c>
      <c r="E257">
        <v>1</v>
      </c>
      <c r="F257">
        <v>1</v>
      </c>
      <c r="G257">
        <v>1</v>
      </c>
      <c r="H257">
        <v>1</v>
      </c>
      <c r="I257" t="s">
        <v>648</v>
      </c>
      <c r="J257" t="s">
        <v>3</v>
      </c>
      <c r="K257" t="s">
        <v>649</v>
      </c>
      <c r="L257">
        <v>1369</v>
      </c>
      <c r="N257">
        <v>1013</v>
      </c>
      <c r="O257" t="s">
        <v>510</v>
      </c>
      <c r="P257" t="s">
        <v>510</v>
      </c>
      <c r="Q257">
        <v>1</v>
      </c>
      <c r="W257">
        <v>0</v>
      </c>
      <c r="X257">
        <v>1351218007</v>
      </c>
      <c r="Y257">
        <v>59.673499999999997</v>
      </c>
      <c r="AA257">
        <v>0</v>
      </c>
      <c r="AB257">
        <v>0</v>
      </c>
      <c r="AC257">
        <v>0</v>
      </c>
      <c r="AD257">
        <v>8.58</v>
      </c>
      <c r="AE257">
        <v>0</v>
      </c>
      <c r="AF257">
        <v>0</v>
      </c>
      <c r="AG257">
        <v>0</v>
      </c>
      <c r="AH257">
        <v>8.58</v>
      </c>
      <c r="AI257">
        <v>1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1</v>
      </c>
      <c r="AQ257">
        <v>0</v>
      </c>
      <c r="AR257">
        <v>0</v>
      </c>
      <c r="AS257" t="s">
        <v>3</v>
      </c>
      <c r="AT257">
        <v>51.89</v>
      </c>
      <c r="AU257" t="s">
        <v>161</v>
      </c>
      <c r="AV257">
        <v>1</v>
      </c>
      <c r="AW257">
        <v>2</v>
      </c>
      <c r="AX257">
        <v>48372025</v>
      </c>
      <c r="AY257">
        <v>1</v>
      </c>
      <c r="AZ257">
        <v>0</v>
      </c>
      <c r="BA257">
        <v>258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Y257*Source!I149</f>
        <v>24.406461499999999</v>
      </c>
      <c r="CY257">
        <f>AD257</f>
        <v>8.58</v>
      </c>
      <c r="CZ257">
        <f>AH257</f>
        <v>8.58</v>
      </c>
      <c r="DA257">
        <f>AL257</f>
        <v>1</v>
      </c>
      <c r="DB257">
        <v>0</v>
      </c>
    </row>
    <row r="258" spans="1:106">
      <c r="A258">
        <f>ROW(Source!A149)</f>
        <v>149</v>
      </c>
      <c r="B258">
        <v>48370320</v>
      </c>
      <c r="C258">
        <v>48372024</v>
      </c>
      <c r="D258">
        <v>121548</v>
      </c>
      <c r="E258">
        <v>1</v>
      </c>
      <c r="F258">
        <v>1</v>
      </c>
      <c r="G258">
        <v>1</v>
      </c>
      <c r="H258">
        <v>1</v>
      </c>
      <c r="I258" t="s">
        <v>24</v>
      </c>
      <c r="J258" t="s">
        <v>3</v>
      </c>
      <c r="K258" t="s">
        <v>511</v>
      </c>
      <c r="L258">
        <v>608254</v>
      </c>
      <c r="N258">
        <v>1013</v>
      </c>
      <c r="O258" t="s">
        <v>512</v>
      </c>
      <c r="P258" t="s">
        <v>512</v>
      </c>
      <c r="Q258">
        <v>1</v>
      </c>
      <c r="W258">
        <v>0</v>
      </c>
      <c r="X258">
        <v>-185737400</v>
      </c>
      <c r="Y258">
        <v>2.3375000000000004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1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1</v>
      </c>
      <c r="AQ258">
        <v>0</v>
      </c>
      <c r="AR258">
        <v>0</v>
      </c>
      <c r="AS258" t="s">
        <v>3</v>
      </c>
      <c r="AT258">
        <v>1.87</v>
      </c>
      <c r="AU258" t="s">
        <v>160</v>
      </c>
      <c r="AV258">
        <v>2</v>
      </c>
      <c r="AW258">
        <v>2</v>
      </c>
      <c r="AX258">
        <v>48372026</v>
      </c>
      <c r="AY258">
        <v>1</v>
      </c>
      <c r="AZ258">
        <v>0</v>
      </c>
      <c r="BA258">
        <v>259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Y258*Source!I149</f>
        <v>0.9560375000000001</v>
      </c>
      <c r="CY258">
        <f>AD258</f>
        <v>0</v>
      </c>
      <c r="CZ258">
        <f>AH258</f>
        <v>0</v>
      </c>
      <c r="DA258">
        <f>AL258</f>
        <v>1</v>
      </c>
      <c r="DB258">
        <v>0</v>
      </c>
    </row>
    <row r="259" spans="1:106">
      <c r="A259">
        <f>ROW(Source!A149)</f>
        <v>149</v>
      </c>
      <c r="B259">
        <v>48370320</v>
      </c>
      <c r="C259">
        <v>48372024</v>
      </c>
      <c r="D259">
        <v>37802515</v>
      </c>
      <c r="E259">
        <v>1</v>
      </c>
      <c r="F259">
        <v>1</v>
      </c>
      <c r="G259">
        <v>1</v>
      </c>
      <c r="H259">
        <v>2</v>
      </c>
      <c r="I259" t="s">
        <v>650</v>
      </c>
      <c r="J259" t="s">
        <v>651</v>
      </c>
      <c r="K259" t="s">
        <v>652</v>
      </c>
      <c r="L259">
        <v>1368</v>
      </c>
      <c r="N259">
        <v>1011</v>
      </c>
      <c r="O259" t="s">
        <v>516</v>
      </c>
      <c r="P259" t="s">
        <v>516</v>
      </c>
      <c r="Q259">
        <v>1</v>
      </c>
      <c r="W259">
        <v>0</v>
      </c>
      <c r="X259">
        <v>-674318163</v>
      </c>
      <c r="Y259">
        <v>0.05</v>
      </c>
      <c r="AA259">
        <v>0</v>
      </c>
      <c r="AB259">
        <v>690.07</v>
      </c>
      <c r="AC259">
        <v>187.92</v>
      </c>
      <c r="AD259">
        <v>0</v>
      </c>
      <c r="AE259">
        <v>0</v>
      </c>
      <c r="AF259">
        <v>87.24</v>
      </c>
      <c r="AG259">
        <v>9</v>
      </c>
      <c r="AH259">
        <v>0</v>
      </c>
      <c r="AI259">
        <v>1</v>
      </c>
      <c r="AJ259">
        <v>7.91</v>
      </c>
      <c r="AK259">
        <v>20.88</v>
      </c>
      <c r="AL259">
        <v>1</v>
      </c>
      <c r="AN259">
        <v>0</v>
      </c>
      <c r="AO259">
        <v>1</v>
      </c>
      <c r="AP259">
        <v>1</v>
      </c>
      <c r="AQ259">
        <v>0</v>
      </c>
      <c r="AR259">
        <v>0</v>
      </c>
      <c r="AS259" t="s">
        <v>3</v>
      </c>
      <c r="AT259">
        <v>0.04</v>
      </c>
      <c r="AU259" t="s">
        <v>160</v>
      </c>
      <c r="AV259">
        <v>0</v>
      </c>
      <c r="AW259">
        <v>2</v>
      </c>
      <c r="AX259">
        <v>48372027</v>
      </c>
      <c r="AY259">
        <v>1</v>
      </c>
      <c r="AZ259">
        <v>0</v>
      </c>
      <c r="BA259">
        <v>260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Y259*Source!I149</f>
        <v>2.0449999999999999E-2</v>
      </c>
      <c r="CY259">
        <f>AB259</f>
        <v>690.07</v>
      </c>
      <c r="CZ259">
        <f>AF259</f>
        <v>87.24</v>
      </c>
      <c r="DA259">
        <f>AJ259</f>
        <v>7.91</v>
      </c>
      <c r="DB259">
        <v>0</v>
      </c>
    </row>
    <row r="260" spans="1:106">
      <c r="A260">
        <f>ROW(Source!A149)</f>
        <v>149</v>
      </c>
      <c r="B260">
        <v>48370320</v>
      </c>
      <c r="C260">
        <v>48372024</v>
      </c>
      <c r="D260">
        <v>37802578</v>
      </c>
      <c r="E260">
        <v>1</v>
      </c>
      <c r="F260">
        <v>1</v>
      </c>
      <c r="G260">
        <v>1</v>
      </c>
      <c r="H260">
        <v>2</v>
      </c>
      <c r="I260" t="s">
        <v>550</v>
      </c>
      <c r="J260" t="s">
        <v>551</v>
      </c>
      <c r="K260" t="s">
        <v>552</v>
      </c>
      <c r="L260">
        <v>1368</v>
      </c>
      <c r="N260">
        <v>1011</v>
      </c>
      <c r="O260" t="s">
        <v>516</v>
      </c>
      <c r="P260" t="s">
        <v>516</v>
      </c>
      <c r="Q260">
        <v>1</v>
      </c>
      <c r="W260">
        <v>0</v>
      </c>
      <c r="X260">
        <v>1753337916</v>
      </c>
      <c r="Y260">
        <v>0.2</v>
      </c>
      <c r="AA260">
        <v>0</v>
      </c>
      <c r="AB260">
        <v>327.64</v>
      </c>
      <c r="AC260">
        <v>252.65</v>
      </c>
      <c r="AD260">
        <v>0</v>
      </c>
      <c r="AE260">
        <v>0</v>
      </c>
      <c r="AF260">
        <v>32.090000000000003</v>
      </c>
      <c r="AG260">
        <v>12.1</v>
      </c>
      <c r="AH260">
        <v>0</v>
      </c>
      <c r="AI260">
        <v>1</v>
      </c>
      <c r="AJ260">
        <v>10.210000000000001</v>
      </c>
      <c r="AK260">
        <v>20.88</v>
      </c>
      <c r="AL260">
        <v>1</v>
      </c>
      <c r="AN260">
        <v>0</v>
      </c>
      <c r="AO260">
        <v>1</v>
      </c>
      <c r="AP260">
        <v>1</v>
      </c>
      <c r="AQ260">
        <v>0</v>
      </c>
      <c r="AR260">
        <v>0</v>
      </c>
      <c r="AS260" t="s">
        <v>3</v>
      </c>
      <c r="AT260">
        <v>0.16</v>
      </c>
      <c r="AU260" t="s">
        <v>160</v>
      </c>
      <c r="AV260">
        <v>0</v>
      </c>
      <c r="AW260">
        <v>2</v>
      </c>
      <c r="AX260">
        <v>48372028</v>
      </c>
      <c r="AY260">
        <v>1</v>
      </c>
      <c r="AZ260">
        <v>0</v>
      </c>
      <c r="BA260">
        <v>261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Y260*Source!I149</f>
        <v>8.1799999999999998E-2</v>
      </c>
      <c r="CY260">
        <f>AB260</f>
        <v>327.64</v>
      </c>
      <c r="CZ260">
        <f>AF260</f>
        <v>32.090000000000003</v>
      </c>
      <c r="DA260">
        <f>AJ260</f>
        <v>10.210000000000001</v>
      </c>
      <c r="DB260">
        <v>0</v>
      </c>
    </row>
    <row r="261" spans="1:106">
      <c r="A261">
        <f>ROW(Source!A149)</f>
        <v>149</v>
      </c>
      <c r="B261">
        <v>48370320</v>
      </c>
      <c r="C261">
        <v>48372024</v>
      </c>
      <c r="D261">
        <v>37802992</v>
      </c>
      <c r="E261">
        <v>1</v>
      </c>
      <c r="F261">
        <v>1</v>
      </c>
      <c r="G261">
        <v>1</v>
      </c>
      <c r="H261">
        <v>2</v>
      </c>
      <c r="I261" t="s">
        <v>653</v>
      </c>
      <c r="J261" t="s">
        <v>654</v>
      </c>
      <c r="K261" t="s">
        <v>655</v>
      </c>
      <c r="L261">
        <v>1368</v>
      </c>
      <c r="N261">
        <v>1011</v>
      </c>
      <c r="O261" t="s">
        <v>516</v>
      </c>
      <c r="P261" t="s">
        <v>516</v>
      </c>
      <c r="Q261">
        <v>1</v>
      </c>
      <c r="W261">
        <v>0</v>
      </c>
      <c r="X261">
        <v>1801551115</v>
      </c>
      <c r="Y261">
        <v>2.0874999999999999</v>
      </c>
      <c r="AA261">
        <v>0</v>
      </c>
      <c r="AB261">
        <v>207.72</v>
      </c>
      <c r="AC261">
        <v>187.92</v>
      </c>
      <c r="AD261">
        <v>0</v>
      </c>
      <c r="AE261">
        <v>0</v>
      </c>
      <c r="AF261">
        <v>11.32</v>
      </c>
      <c r="AG261">
        <v>9</v>
      </c>
      <c r="AH261">
        <v>0</v>
      </c>
      <c r="AI261">
        <v>1</v>
      </c>
      <c r="AJ261">
        <v>18.350000000000001</v>
      </c>
      <c r="AK261">
        <v>20.88</v>
      </c>
      <c r="AL261">
        <v>1</v>
      </c>
      <c r="AN261">
        <v>0</v>
      </c>
      <c r="AO261">
        <v>1</v>
      </c>
      <c r="AP261">
        <v>1</v>
      </c>
      <c r="AQ261">
        <v>0</v>
      </c>
      <c r="AR261">
        <v>0</v>
      </c>
      <c r="AS261" t="s">
        <v>3</v>
      </c>
      <c r="AT261">
        <v>1.67</v>
      </c>
      <c r="AU261" t="s">
        <v>160</v>
      </c>
      <c r="AV261">
        <v>0</v>
      </c>
      <c r="AW261">
        <v>2</v>
      </c>
      <c r="AX261">
        <v>48372029</v>
      </c>
      <c r="AY261">
        <v>1</v>
      </c>
      <c r="AZ261">
        <v>0</v>
      </c>
      <c r="BA261">
        <v>262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Y261*Source!I149</f>
        <v>0.85378749999999992</v>
      </c>
      <c r="CY261">
        <f>AB261</f>
        <v>207.72</v>
      </c>
      <c r="CZ261">
        <f>AF261</f>
        <v>11.32</v>
      </c>
      <c r="DA261">
        <f>AJ261</f>
        <v>18.350000000000001</v>
      </c>
      <c r="DB261">
        <v>0</v>
      </c>
    </row>
    <row r="262" spans="1:106">
      <c r="A262">
        <f>ROW(Source!A149)</f>
        <v>149</v>
      </c>
      <c r="B262">
        <v>48370320</v>
      </c>
      <c r="C262">
        <v>48372024</v>
      </c>
      <c r="D262">
        <v>37731442</v>
      </c>
      <c r="E262">
        <v>1</v>
      </c>
      <c r="F262">
        <v>1</v>
      </c>
      <c r="G262">
        <v>1</v>
      </c>
      <c r="H262">
        <v>3</v>
      </c>
      <c r="I262" t="s">
        <v>628</v>
      </c>
      <c r="J262" t="s">
        <v>629</v>
      </c>
      <c r="K262" t="s">
        <v>630</v>
      </c>
      <c r="L262">
        <v>1348</v>
      </c>
      <c r="N262">
        <v>1009</v>
      </c>
      <c r="O262" t="s">
        <v>536</v>
      </c>
      <c r="P262" t="s">
        <v>536</v>
      </c>
      <c r="Q262">
        <v>1000</v>
      </c>
      <c r="W262">
        <v>0</v>
      </c>
      <c r="X262">
        <v>-33111211</v>
      </c>
      <c r="Y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1</v>
      </c>
      <c r="AJ262">
        <v>1</v>
      </c>
      <c r="AK262">
        <v>1</v>
      </c>
      <c r="AL262">
        <v>1</v>
      </c>
      <c r="AN262">
        <v>1</v>
      </c>
      <c r="AO262">
        <v>0</v>
      </c>
      <c r="AP262">
        <v>0</v>
      </c>
      <c r="AQ262">
        <v>0</v>
      </c>
      <c r="AR262">
        <v>0</v>
      </c>
      <c r="AS262" t="s">
        <v>3</v>
      </c>
      <c r="AT262">
        <v>0</v>
      </c>
      <c r="AU262" t="s">
        <v>3</v>
      </c>
      <c r="AV262">
        <v>0</v>
      </c>
      <c r="AW262">
        <v>2</v>
      </c>
      <c r="AX262">
        <v>48372030</v>
      </c>
      <c r="AY262">
        <v>1</v>
      </c>
      <c r="AZ262">
        <v>0</v>
      </c>
      <c r="BA262">
        <v>263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Y262*Source!I149</f>
        <v>0</v>
      </c>
      <c r="CY262">
        <f>AA262</f>
        <v>0</v>
      </c>
      <c r="CZ262">
        <f>AE262</f>
        <v>0</v>
      </c>
      <c r="DA262">
        <f>AI262</f>
        <v>1</v>
      </c>
      <c r="DB262">
        <v>0</v>
      </c>
    </row>
    <row r="263" spans="1:106">
      <c r="A263">
        <f>ROW(Source!A149)</f>
        <v>149</v>
      </c>
      <c r="B263">
        <v>48370320</v>
      </c>
      <c r="C263">
        <v>48372024</v>
      </c>
      <c r="D263">
        <v>37768197</v>
      </c>
      <c r="E263">
        <v>1</v>
      </c>
      <c r="F263">
        <v>1</v>
      </c>
      <c r="G263">
        <v>1</v>
      </c>
      <c r="H263">
        <v>3</v>
      </c>
      <c r="I263" t="s">
        <v>875</v>
      </c>
      <c r="J263" t="s">
        <v>876</v>
      </c>
      <c r="K263" t="s">
        <v>877</v>
      </c>
      <c r="L263">
        <v>1348</v>
      </c>
      <c r="N263">
        <v>1009</v>
      </c>
      <c r="O263" t="s">
        <v>536</v>
      </c>
      <c r="P263" t="s">
        <v>536</v>
      </c>
      <c r="Q263">
        <v>1000</v>
      </c>
      <c r="W263">
        <v>0</v>
      </c>
      <c r="X263">
        <v>-2137025586</v>
      </c>
      <c r="Y263">
        <v>0.97</v>
      </c>
      <c r="AA263">
        <v>22609.040000000001</v>
      </c>
      <c r="AB263">
        <v>0</v>
      </c>
      <c r="AC263">
        <v>0</v>
      </c>
      <c r="AD263">
        <v>0</v>
      </c>
      <c r="AE263">
        <v>2537.4899999999998</v>
      </c>
      <c r="AF263">
        <v>0</v>
      </c>
      <c r="AG263">
        <v>0</v>
      </c>
      <c r="AH263">
        <v>0</v>
      </c>
      <c r="AI263">
        <v>8.91</v>
      </c>
      <c r="AJ263">
        <v>1</v>
      </c>
      <c r="AK263">
        <v>1</v>
      </c>
      <c r="AL263">
        <v>1</v>
      </c>
      <c r="AN263">
        <v>0</v>
      </c>
      <c r="AO263">
        <v>1</v>
      </c>
      <c r="AP263">
        <v>0</v>
      </c>
      <c r="AQ263">
        <v>0</v>
      </c>
      <c r="AR263">
        <v>0</v>
      </c>
      <c r="AS263" t="s">
        <v>3</v>
      </c>
      <c r="AT263">
        <v>0.97</v>
      </c>
      <c r="AU263" t="s">
        <v>3</v>
      </c>
      <c r="AV263">
        <v>0</v>
      </c>
      <c r="AW263">
        <v>2</v>
      </c>
      <c r="AX263">
        <v>48372031</v>
      </c>
      <c r="AY263">
        <v>1</v>
      </c>
      <c r="AZ263">
        <v>0</v>
      </c>
      <c r="BA263">
        <v>264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Y263*Source!I149</f>
        <v>0.39672999999999997</v>
      </c>
      <c r="CY263">
        <f>AA263</f>
        <v>22609.040000000001</v>
      </c>
      <c r="CZ263">
        <f>AE263</f>
        <v>2537.4899999999998</v>
      </c>
      <c r="DA263">
        <f>AI263</f>
        <v>8.91</v>
      </c>
      <c r="DB263">
        <v>0</v>
      </c>
    </row>
    <row r="264" spans="1:106">
      <c r="A264">
        <f>ROW(Source!A149)</f>
        <v>149</v>
      </c>
      <c r="B264">
        <v>48370320</v>
      </c>
      <c r="C264">
        <v>48372024</v>
      </c>
      <c r="D264">
        <v>37777802</v>
      </c>
      <c r="E264">
        <v>1</v>
      </c>
      <c r="F264">
        <v>1</v>
      </c>
      <c r="G264">
        <v>1</v>
      </c>
      <c r="H264">
        <v>3</v>
      </c>
      <c r="I264" t="s">
        <v>616</v>
      </c>
      <c r="J264" t="s">
        <v>617</v>
      </c>
      <c r="K264" t="s">
        <v>618</v>
      </c>
      <c r="L264">
        <v>1339</v>
      </c>
      <c r="N264">
        <v>1007</v>
      </c>
      <c r="O264" t="s">
        <v>543</v>
      </c>
      <c r="P264" t="s">
        <v>543</v>
      </c>
      <c r="Q264">
        <v>1</v>
      </c>
      <c r="W264">
        <v>0</v>
      </c>
      <c r="X264">
        <v>-1418712732</v>
      </c>
      <c r="Y264">
        <v>0.63</v>
      </c>
      <c r="AA264">
        <v>45.55</v>
      </c>
      <c r="AB264">
        <v>0</v>
      </c>
      <c r="AC264">
        <v>0</v>
      </c>
      <c r="AD264">
        <v>0</v>
      </c>
      <c r="AE264">
        <v>2.4700000000000002</v>
      </c>
      <c r="AF264">
        <v>0</v>
      </c>
      <c r="AG264">
        <v>0</v>
      </c>
      <c r="AH264">
        <v>0</v>
      </c>
      <c r="AI264">
        <v>18.440000000000001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S264" t="s">
        <v>3</v>
      </c>
      <c r="AT264">
        <v>0.63</v>
      </c>
      <c r="AU264" t="s">
        <v>3</v>
      </c>
      <c r="AV264">
        <v>0</v>
      </c>
      <c r="AW264">
        <v>2</v>
      </c>
      <c r="AX264">
        <v>48372032</v>
      </c>
      <c r="AY264">
        <v>1</v>
      </c>
      <c r="AZ264">
        <v>0</v>
      </c>
      <c r="BA264">
        <v>265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Y264*Source!I149</f>
        <v>0.25767000000000001</v>
      </c>
      <c r="CY264">
        <f>AA264</f>
        <v>45.55</v>
      </c>
      <c r="CZ264">
        <f>AE264</f>
        <v>2.4700000000000002</v>
      </c>
      <c r="DA264">
        <f>AI264</f>
        <v>18.440000000000001</v>
      </c>
      <c r="DB264">
        <v>0</v>
      </c>
    </row>
    <row r="265" spans="1:106">
      <c r="A265">
        <f>ROW(Source!A150)</f>
        <v>150</v>
      </c>
      <c r="B265">
        <v>48370320</v>
      </c>
      <c r="C265">
        <v>48372055</v>
      </c>
      <c r="D265">
        <v>23146514</v>
      </c>
      <c r="E265">
        <v>1</v>
      </c>
      <c r="F265">
        <v>1</v>
      </c>
      <c r="G265">
        <v>1</v>
      </c>
      <c r="H265">
        <v>1</v>
      </c>
      <c r="I265" t="s">
        <v>878</v>
      </c>
      <c r="J265" t="s">
        <v>3</v>
      </c>
      <c r="K265" t="s">
        <v>879</v>
      </c>
      <c r="L265">
        <v>1369</v>
      </c>
      <c r="N265">
        <v>1013</v>
      </c>
      <c r="O265" t="s">
        <v>510</v>
      </c>
      <c r="P265" t="s">
        <v>510</v>
      </c>
      <c r="Q265">
        <v>1</v>
      </c>
      <c r="W265">
        <v>0</v>
      </c>
      <c r="X265">
        <v>-646155538</v>
      </c>
      <c r="Y265">
        <v>72.564999999999998</v>
      </c>
      <c r="AA265">
        <v>0</v>
      </c>
      <c r="AB265">
        <v>0</v>
      </c>
      <c r="AC265">
        <v>0</v>
      </c>
      <c r="AD265">
        <v>9.1300000000000008</v>
      </c>
      <c r="AE265">
        <v>0</v>
      </c>
      <c r="AF265">
        <v>0</v>
      </c>
      <c r="AG265">
        <v>0</v>
      </c>
      <c r="AH265">
        <v>9.1300000000000008</v>
      </c>
      <c r="AI265">
        <v>1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1</v>
      </c>
      <c r="AQ265">
        <v>0</v>
      </c>
      <c r="AR265">
        <v>0</v>
      </c>
      <c r="AS265" t="s">
        <v>3</v>
      </c>
      <c r="AT265">
        <v>63.1</v>
      </c>
      <c r="AU265" t="s">
        <v>161</v>
      </c>
      <c r="AV265">
        <v>1</v>
      </c>
      <c r="AW265">
        <v>2</v>
      </c>
      <c r="AX265">
        <v>48372056</v>
      </c>
      <c r="AY265">
        <v>1</v>
      </c>
      <c r="AZ265">
        <v>0</v>
      </c>
      <c r="BA265">
        <v>266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Y265*Source!I150</f>
        <v>25.528366999999999</v>
      </c>
      <c r="CY265">
        <f>AD265</f>
        <v>9.1300000000000008</v>
      </c>
      <c r="CZ265">
        <f>AH265</f>
        <v>9.1300000000000008</v>
      </c>
      <c r="DA265">
        <f>AL265</f>
        <v>1</v>
      </c>
      <c r="DB265">
        <v>0</v>
      </c>
    </row>
    <row r="266" spans="1:106">
      <c r="A266">
        <f>ROW(Source!A150)</f>
        <v>150</v>
      </c>
      <c r="B266">
        <v>48370320</v>
      </c>
      <c r="C266">
        <v>48372055</v>
      </c>
      <c r="D266">
        <v>121548</v>
      </c>
      <c r="E266">
        <v>1</v>
      </c>
      <c r="F266">
        <v>1</v>
      </c>
      <c r="G266">
        <v>1</v>
      </c>
      <c r="H266">
        <v>1</v>
      </c>
      <c r="I266" t="s">
        <v>24</v>
      </c>
      <c r="J266" t="s">
        <v>3</v>
      </c>
      <c r="K266" t="s">
        <v>511</v>
      </c>
      <c r="L266">
        <v>608254</v>
      </c>
      <c r="N266">
        <v>1013</v>
      </c>
      <c r="O266" t="s">
        <v>512</v>
      </c>
      <c r="P266" t="s">
        <v>512</v>
      </c>
      <c r="Q266">
        <v>1</v>
      </c>
      <c r="W266">
        <v>0</v>
      </c>
      <c r="X266">
        <v>-185737400</v>
      </c>
      <c r="Y266">
        <v>2.7250000000000001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1</v>
      </c>
      <c r="AJ266">
        <v>1</v>
      </c>
      <c r="AK266">
        <v>1</v>
      </c>
      <c r="AL266">
        <v>1</v>
      </c>
      <c r="AN266">
        <v>0</v>
      </c>
      <c r="AO266">
        <v>1</v>
      </c>
      <c r="AP266">
        <v>1</v>
      </c>
      <c r="AQ266">
        <v>0</v>
      </c>
      <c r="AR266">
        <v>0</v>
      </c>
      <c r="AS266" t="s">
        <v>3</v>
      </c>
      <c r="AT266">
        <v>2.1800000000000002</v>
      </c>
      <c r="AU266" t="s">
        <v>160</v>
      </c>
      <c r="AV266">
        <v>2</v>
      </c>
      <c r="AW266">
        <v>2</v>
      </c>
      <c r="AX266">
        <v>48372057</v>
      </c>
      <c r="AY266">
        <v>1</v>
      </c>
      <c r="AZ266">
        <v>0</v>
      </c>
      <c r="BA266">
        <v>267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Y266*Source!I150</f>
        <v>0.95865500000000003</v>
      </c>
      <c r="CY266">
        <f>AD266</f>
        <v>0</v>
      </c>
      <c r="CZ266">
        <f>AH266</f>
        <v>0</v>
      </c>
      <c r="DA266">
        <f>AL266</f>
        <v>1</v>
      </c>
      <c r="DB266">
        <v>0</v>
      </c>
    </row>
    <row r="267" spans="1:106">
      <c r="A267">
        <f>ROW(Source!A150)</f>
        <v>150</v>
      </c>
      <c r="B267">
        <v>48370320</v>
      </c>
      <c r="C267">
        <v>48372055</v>
      </c>
      <c r="D267">
        <v>37802515</v>
      </c>
      <c r="E267">
        <v>1</v>
      </c>
      <c r="F267">
        <v>1</v>
      </c>
      <c r="G267">
        <v>1</v>
      </c>
      <c r="H267">
        <v>2</v>
      </c>
      <c r="I267" t="s">
        <v>650</v>
      </c>
      <c r="J267" t="s">
        <v>651</v>
      </c>
      <c r="K267" t="s">
        <v>652</v>
      </c>
      <c r="L267">
        <v>1368</v>
      </c>
      <c r="N267">
        <v>1011</v>
      </c>
      <c r="O267" t="s">
        <v>516</v>
      </c>
      <c r="P267" t="s">
        <v>516</v>
      </c>
      <c r="Q267">
        <v>1</v>
      </c>
      <c r="W267">
        <v>0</v>
      </c>
      <c r="X267">
        <v>-674318163</v>
      </c>
      <c r="Y267">
        <v>6.25E-2</v>
      </c>
      <c r="AA267">
        <v>0</v>
      </c>
      <c r="AB267">
        <v>690.07</v>
      </c>
      <c r="AC267">
        <v>187.92</v>
      </c>
      <c r="AD267">
        <v>0</v>
      </c>
      <c r="AE267">
        <v>0</v>
      </c>
      <c r="AF267">
        <v>87.24</v>
      </c>
      <c r="AG267">
        <v>9</v>
      </c>
      <c r="AH267">
        <v>0</v>
      </c>
      <c r="AI267">
        <v>1</v>
      </c>
      <c r="AJ267">
        <v>7.91</v>
      </c>
      <c r="AK267">
        <v>20.88</v>
      </c>
      <c r="AL267">
        <v>1</v>
      </c>
      <c r="AN267">
        <v>0</v>
      </c>
      <c r="AO267">
        <v>1</v>
      </c>
      <c r="AP267">
        <v>1</v>
      </c>
      <c r="AQ267">
        <v>0</v>
      </c>
      <c r="AR267">
        <v>0</v>
      </c>
      <c r="AS267" t="s">
        <v>3</v>
      </c>
      <c r="AT267">
        <v>0.05</v>
      </c>
      <c r="AU267" t="s">
        <v>160</v>
      </c>
      <c r="AV267">
        <v>0</v>
      </c>
      <c r="AW267">
        <v>2</v>
      </c>
      <c r="AX267">
        <v>48372058</v>
      </c>
      <c r="AY267">
        <v>1</v>
      </c>
      <c r="AZ267">
        <v>0</v>
      </c>
      <c r="BA267">
        <v>268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Y267*Source!I150</f>
        <v>2.19875E-2</v>
      </c>
      <c r="CY267">
        <f>AB267</f>
        <v>690.07</v>
      </c>
      <c r="CZ267">
        <f>AF267</f>
        <v>87.24</v>
      </c>
      <c r="DA267">
        <f>AJ267</f>
        <v>7.91</v>
      </c>
      <c r="DB267">
        <v>0</v>
      </c>
    </row>
    <row r="268" spans="1:106">
      <c r="A268">
        <f>ROW(Source!A150)</f>
        <v>150</v>
      </c>
      <c r="B268">
        <v>48370320</v>
      </c>
      <c r="C268">
        <v>48372055</v>
      </c>
      <c r="D268">
        <v>37802578</v>
      </c>
      <c r="E268">
        <v>1</v>
      </c>
      <c r="F268">
        <v>1</v>
      </c>
      <c r="G268">
        <v>1</v>
      </c>
      <c r="H268">
        <v>2</v>
      </c>
      <c r="I268" t="s">
        <v>550</v>
      </c>
      <c r="J268" t="s">
        <v>551</v>
      </c>
      <c r="K268" t="s">
        <v>552</v>
      </c>
      <c r="L268">
        <v>1368</v>
      </c>
      <c r="N268">
        <v>1011</v>
      </c>
      <c r="O268" t="s">
        <v>516</v>
      </c>
      <c r="P268" t="s">
        <v>516</v>
      </c>
      <c r="Q268">
        <v>1</v>
      </c>
      <c r="W268">
        <v>0</v>
      </c>
      <c r="X268">
        <v>1753337916</v>
      </c>
      <c r="Y268">
        <v>0.22499999999999998</v>
      </c>
      <c r="AA268">
        <v>0</v>
      </c>
      <c r="AB268">
        <v>327.64</v>
      </c>
      <c r="AC268">
        <v>252.65</v>
      </c>
      <c r="AD268">
        <v>0</v>
      </c>
      <c r="AE268">
        <v>0</v>
      </c>
      <c r="AF268">
        <v>32.090000000000003</v>
      </c>
      <c r="AG268">
        <v>12.1</v>
      </c>
      <c r="AH268">
        <v>0</v>
      </c>
      <c r="AI268">
        <v>1</v>
      </c>
      <c r="AJ268">
        <v>10.210000000000001</v>
      </c>
      <c r="AK268">
        <v>20.88</v>
      </c>
      <c r="AL268">
        <v>1</v>
      </c>
      <c r="AN268">
        <v>0</v>
      </c>
      <c r="AO268">
        <v>1</v>
      </c>
      <c r="AP268">
        <v>1</v>
      </c>
      <c r="AQ268">
        <v>0</v>
      </c>
      <c r="AR268">
        <v>0</v>
      </c>
      <c r="AS268" t="s">
        <v>3</v>
      </c>
      <c r="AT268">
        <v>0.18</v>
      </c>
      <c r="AU268" t="s">
        <v>160</v>
      </c>
      <c r="AV268">
        <v>0</v>
      </c>
      <c r="AW268">
        <v>2</v>
      </c>
      <c r="AX268">
        <v>48372059</v>
      </c>
      <c r="AY268">
        <v>1</v>
      </c>
      <c r="AZ268">
        <v>0</v>
      </c>
      <c r="BA268">
        <v>269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Y268*Source!I150</f>
        <v>7.9154999999999989E-2</v>
      </c>
      <c r="CY268">
        <f>AB268</f>
        <v>327.64</v>
      </c>
      <c r="CZ268">
        <f>AF268</f>
        <v>32.090000000000003</v>
      </c>
      <c r="DA268">
        <f>AJ268</f>
        <v>10.210000000000001</v>
      </c>
      <c r="DB268">
        <v>0</v>
      </c>
    </row>
    <row r="269" spans="1:106">
      <c r="A269">
        <f>ROW(Source!A150)</f>
        <v>150</v>
      </c>
      <c r="B269">
        <v>48370320</v>
      </c>
      <c r="C269">
        <v>48372055</v>
      </c>
      <c r="D269">
        <v>37802992</v>
      </c>
      <c r="E269">
        <v>1</v>
      </c>
      <c r="F269">
        <v>1</v>
      </c>
      <c r="G269">
        <v>1</v>
      </c>
      <c r="H269">
        <v>2</v>
      </c>
      <c r="I269" t="s">
        <v>653</v>
      </c>
      <c r="J269" t="s">
        <v>654</v>
      </c>
      <c r="K269" t="s">
        <v>655</v>
      </c>
      <c r="L269">
        <v>1368</v>
      </c>
      <c r="N269">
        <v>1011</v>
      </c>
      <c r="O269" t="s">
        <v>516</v>
      </c>
      <c r="P269" t="s">
        <v>516</v>
      </c>
      <c r="Q269">
        <v>1</v>
      </c>
      <c r="W269">
        <v>0</v>
      </c>
      <c r="X269">
        <v>1801551115</v>
      </c>
      <c r="Y269">
        <v>2.4375</v>
      </c>
      <c r="AA269">
        <v>0</v>
      </c>
      <c r="AB269">
        <v>207.72</v>
      </c>
      <c r="AC269">
        <v>187.92</v>
      </c>
      <c r="AD269">
        <v>0</v>
      </c>
      <c r="AE269">
        <v>0</v>
      </c>
      <c r="AF269">
        <v>11.32</v>
      </c>
      <c r="AG269">
        <v>9</v>
      </c>
      <c r="AH269">
        <v>0</v>
      </c>
      <c r="AI269">
        <v>1</v>
      </c>
      <c r="AJ269">
        <v>18.350000000000001</v>
      </c>
      <c r="AK269">
        <v>20.88</v>
      </c>
      <c r="AL269">
        <v>1</v>
      </c>
      <c r="AN269">
        <v>0</v>
      </c>
      <c r="AO269">
        <v>1</v>
      </c>
      <c r="AP269">
        <v>1</v>
      </c>
      <c r="AQ269">
        <v>0</v>
      </c>
      <c r="AR269">
        <v>0</v>
      </c>
      <c r="AS269" t="s">
        <v>3</v>
      </c>
      <c r="AT269">
        <v>1.95</v>
      </c>
      <c r="AU269" t="s">
        <v>160</v>
      </c>
      <c r="AV269">
        <v>0</v>
      </c>
      <c r="AW269">
        <v>2</v>
      </c>
      <c r="AX269">
        <v>48372060</v>
      </c>
      <c r="AY269">
        <v>1</v>
      </c>
      <c r="AZ269">
        <v>0</v>
      </c>
      <c r="BA269">
        <v>270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Y269*Source!I150</f>
        <v>0.85751250000000001</v>
      </c>
      <c r="CY269">
        <f>AB269</f>
        <v>207.72</v>
      </c>
      <c r="CZ269">
        <f>AF269</f>
        <v>11.32</v>
      </c>
      <c r="DA269">
        <f>AJ269</f>
        <v>18.350000000000001</v>
      </c>
      <c r="DB269">
        <v>0</v>
      </c>
    </row>
    <row r="270" spans="1:106">
      <c r="A270">
        <f>ROW(Source!A150)</f>
        <v>150</v>
      </c>
      <c r="B270">
        <v>48370320</v>
      </c>
      <c r="C270">
        <v>48372055</v>
      </c>
      <c r="D270">
        <v>37731442</v>
      </c>
      <c r="E270">
        <v>1</v>
      </c>
      <c r="F270">
        <v>1</v>
      </c>
      <c r="G270">
        <v>1</v>
      </c>
      <c r="H270">
        <v>3</v>
      </c>
      <c r="I270" t="s">
        <v>628</v>
      </c>
      <c r="J270" t="s">
        <v>629</v>
      </c>
      <c r="K270" t="s">
        <v>630</v>
      </c>
      <c r="L270">
        <v>1348</v>
      </c>
      <c r="N270">
        <v>1009</v>
      </c>
      <c r="O270" t="s">
        <v>536</v>
      </c>
      <c r="P270" t="s">
        <v>536</v>
      </c>
      <c r="Q270">
        <v>1000</v>
      </c>
      <c r="W270">
        <v>0</v>
      </c>
      <c r="X270">
        <v>-33111211</v>
      </c>
      <c r="Y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1</v>
      </c>
      <c r="AJ270">
        <v>1</v>
      </c>
      <c r="AK270">
        <v>1</v>
      </c>
      <c r="AL270">
        <v>1</v>
      </c>
      <c r="AN270">
        <v>1</v>
      </c>
      <c r="AO270">
        <v>0</v>
      </c>
      <c r="AP270">
        <v>0</v>
      </c>
      <c r="AQ270">
        <v>0</v>
      </c>
      <c r="AR270">
        <v>0</v>
      </c>
      <c r="AS270" t="s">
        <v>3</v>
      </c>
      <c r="AT270">
        <v>0</v>
      </c>
      <c r="AU270" t="s">
        <v>3</v>
      </c>
      <c r="AV270">
        <v>0</v>
      </c>
      <c r="AW270">
        <v>2</v>
      </c>
      <c r="AX270">
        <v>48372061</v>
      </c>
      <c r="AY270">
        <v>1</v>
      </c>
      <c r="AZ270">
        <v>0</v>
      </c>
      <c r="BA270">
        <v>271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Y270*Source!I150</f>
        <v>0</v>
      </c>
      <c r="CY270">
        <f>AA270</f>
        <v>0</v>
      </c>
      <c r="CZ270">
        <f>AE270</f>
        <v>0</v>
      </c>
      <c r="DA270">
        <f>AI270</f>
        <v>1</v>
      </c>
      <c r="DB270">
        <v>0</v>
      </c>
    </row>
    <row r="271" spans="1:106">
      <c r="A271">
        <f>ROW(Source!A150)</f>
        <v>150</v>
      </c>
      <c r="B271">
        <v>48370320</v>
      </c>
      <c r="C271">
        <v>48372055</v>
      </c>
      <c r="D271">
        <v>37768197</v>
      </c>
      <c r="E271">
        <v>1</v>
      </c>
      <c r="F271">
        <v>1</v>
      </c>
      <c r="G271">
        <v>1</v>
      </c>
      <c r="H271">
        <v>3</v>
      </c>
      <c r="I271" t="s">
        <v>875</v>
      </c>
      <c r="J271" t="s">
        <v>876</v>
      </c>
      <c r="K271" t="s">
        <v>877</v>
      </c>
      <c r="L271">
        <v>1348</v>
      </c>
      <c r="N271">
        <v>1009</v>
      </c>
      <c r="O271" t="s">
        <v>536</v>
      </c>
      <c r="P271" t="s">
        <v>536</v>
      </c>
      <c r="Q271">
        <v>1000</v>
      </c>
      <c r="W271">
        <v>0</v>
      </c>
      <c r="X271">
        <v>-2137025586</v>
      </c>
      <c r="Y271">
        <v>1.131</v>
      </c>
      <c r="AA271">
        <v>22609.040000000001</v>
      </c>
      <c r="AB271">
        <v>0</v>
      </c>
      <c r="AC271">
        <v>0</v>
      </c>
      <c r="AD271">
        <v>0</v>
      </c>
      <c r="AE271">
        <v>2537.4899999999998</v>
      </c>
      <c r="AF271">
        <v>0</v>
      </c>
      <c r="AG271">
        <v>0</v>
      </c>
      <c r="AH271">
        <v>0</v>
      </c>
      <c r="AI271">
        <v>8.91</v>
      </c>
      <c r="AJ271">
        <v>1</v>
      </c>
      <c r="AK271">
        <v>1</v>
      </c>
      <c r="AL271">
        <v>1</v>
      </c>
      <c r="AN271">
        <v>0</v>
      </c>
      <c r="AO271">
        <v>1</v>
      </c>
      <c r="AP271">
        <v>0</v>
      </c>
      <c r="AQ271">
        <v>0</v>
      </c>
      <c r="AR271">
        <v>0</v>
      </c>
      <c r="AS271" t="s">
        <v>3</v>
      </c>
      <c r="AT271">
        <v>1.131</v>
      </c>
      <c r="AU271" t="s">
        <v>3</v>
      </c>
      <c r="AV271">
        <v>0</v>
      </c>
      <c r="AW271">
        <v>2</v>
      </c>
      <c r="AX271">
        <v>48372062</v>
      </c>
      <c r="AY271">
        <v>1</v>
      </c>
      <c r="AZ271">
        <v>0</v>
      </c>
      <c r="BA271">
        <v>272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Y271*Source!I150</f>
        <v>0.39788580000000001</v>
      </c>
      <c r="CY271">
        <f>AA271</f>
        <v>22609.040000000001</v>
      </c>
      <c r="CZ271">
        <f>AE271</f>
        <v>2537.4899999999998</v>
      </c>
      <c r="DA271">
        <f>AI271</f>
        <v>8.91</v>
      </c>
      <c r="DB271">
        <v>0</v>
      </c>
    </row>
    <row r="272" spans="1:106">
      <c r="A272">
        <f>ROW(Source!A150)</f>
        <v>150</v>
      </c>
      <c r="B272">
        <v>48370320</v>
      </c>
      <c r="C272">
        <v>48372055</v>
      </c>
      <c r="D272">
        <v>37777802</v>
      </c>
      <c r="E272">
        <v>1</v>
      </c>
      <c r="F272">
        <v>1</v>
      </c>
      <c r="G272">
        <v>1</v>
      </c>
      <c r="H272">
        <v>3</v>
      </c>
      <c r="I272" t="s">
        <v>616</v>
      </c>
      <c r="J272" t="s">
        <v>617</v>
      </c>
      <c r="K272" t="s">
        <v>618</v>
      </c>
      <c r="L272">
        <v>1339</v>
      </c>
      <c r="N272">
        <v>1007</v>
      </c>
      <c r="O272" t="s">
        <v>543</v>
      </c>
      <c r="P272" t="s">
        <v>543</v>
      </c>
      <c r="Q272">
        <v>1</v>
      </c>
      <c r="W272">
        <v>0</v>
      </c>
      <c r="X272">
        <v>-1418712732</v>
      </c>
      <c r="Y272">
        <v>0.74</v>
      </c>
      <c r="AA272">
        <v>45.55</v>
      </c>
      <c r="AB272">
        <v>0</v>
      </c>
      <c r="AC272">
        <v>0</v>
      </c>
      <c r="AD272">
        <v>0</v>
      </c>
      <c r="AE272">
        <v>2.4700000000000002</v>
      </c>
      <c r="AF272">
        <v>0</v>
      </c>
      <c r="AG272">
        <v>0</v>
      </c>
      <c r="AH272">
        <v>0</v>
      </c>
      <c r="AI272">
        <v>18.440000000000001</v>
      </c>
      <c r="AJ272">
        <v>1</v>
      </c>
      <c r="AK272">
        <v>1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S272" t="s">
        <v>3</v>
      </c>
      <c r="AT272">
        <v>0.74</v>
      </c>
      <c r="AU272" t="s">
        <v>3</v>
      </c>
      <c r="AV272">
        <v>0</v>
      </c>
      <c r="AW272">
        <v>2</v>
      </c>
      <c r="AX272">
        <v>48372063</v>
      </c>
      <c r="AY272">
        <v>1</v>
      </c>
      <c r="AZ272">
        <v>0</v>
      </c>
      <c r="BA272">
        <v>273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Y272*Source!I150</f>
        <v>0.26033200000000001</v>
      </c>
      <c r="CY272">
        <f>AA272</f>
        <v>45.55</v>
      </c>
      <c r="CZ272">
        <f>AE272</f>
        <v>2.4700000000000002</v>
      </c>
      <c r="DA272">
        <f>AI272</f>
        <v>18.440000000000001</v>
      </c>
      <c r="DB272">
        <v>0</v>
      </c>
    </row>
    <row r="273" spans="1:106">
      <c r="A273">
        <f>ROW(Source!A151)</f>
        <v>151</v>
      </c>
      <c r="B273">
        <v>48370320</v>
      </c>
      <c r="C273">
        <v>48372540</v>
      </c>
      <c r="D273">
        <v>23134555</v>
      </c>
      <c r="E273">
        <v>1</v>
      </c>
      <c r="F273">
        <v>1</v>
      </c>
      <c r="G273">
        <v>1</v>
      </c>
      <c r="H273">
        <v>1</v>
      </c>
      <c r="I273" t="s">
        <v>520</v>
      </c>
      <c r="J273" t="s">
        <v>3</v>
      </c>
      <c r="K273" t="s">
        <v>521</v>
      </c>
      <c r="L273">
        <v>1369</v>
      </c>
      <c r="N273">
        <v>1013</v>
      </c>
      <c r="O273" t="s">
        <v>510</v>
      </c>
      <c r="P273" t="s">
        <v>510</v>
      </c>
      <c r="Q273">
        <v>1</v>
      </c>
      <c r="W273">
        <v>0</v>
      </c>
      <c r="X273">
        <v>-1593017532</v>
      </c>
      <c r="Y273">
        <v>49.334999999999994</v>
      </c>
      <c r="AA273">
        <v>0</v>
      </c>
      <c r="AB273">
        <v>0</v>
      </c>
      <c r="AC273">
        <v>0</v>
      </c>
      <c r="AD273">
        <v>8.3800000000000008</v>
      </c>
      <c r="AE273">
        <v>0</v>
      </c>
      <c r="AF273">
        <v>0</v>
      </c>
      <c r="AG273">
        <v>0</v>
      </c>
      <c r="AH273">
        <v>8.3800000000000008</v>
      </c>
      <c r="AI273">
        <v>1</v>
      </c>
      <c r="AJ273">
        <v>1</v>
      </c>
      <c r="AK273">
        <v>1</v>
      </c>
      <c r="AL273">
        <v>1</v>
      </c>
      <c r="AN273">
        <v>0</v>
      </c>
      <c r="AO273">
        <v>1</v>
      </c>
      <c r="AP273">
        <v>1</v>
      </c>
      <c r="AQ273">
        <v>0</v>
      </c>
      <c r="AR273">
        <v>0</v>
      </c>
      <c r="AS273" t="s">
        <v>3</v>
      </c>
      <c r="AT273">
        <v>42.9</v>
      </c>
      <c r="AU273" t="s">
        <v>161</v>
      </c>
      <c r="AV273">
        <v>1</v>
      </c>
      <c r="AW273">
        <v>2</v>
      </c>
      <c r="AX273">
        <v>48372541</v>
      </c>
      <c r="AY273">
        <v>1</v>
      </c>
      <c r="AZ273">
        <v>0</v>
      </c>
      <c r="BA273">
        <v>274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Y273*Source!I151</f>
        <v>20.178014999999995</v>
      </c>
      <c r="CY273">
        <f>AD273</f>
        <v>8.3800000000000008</v>
      </c>
      <c r="CZ273">
        <f>AH273</f>
        <v>8.3800000000000008</v>
      </c>
      <c r="DA273">
        <f>AL273</f>
        <v>1</v>
      </c>
      <c r="DB273">
        <v>0</v>
      </c>
    </row>
    <row r="274" spans="1:106">
      <c r="A274">
        <f>ROW(Source!A151)</f>
        <v>151</v>
      </c>
      <c r="B274">
        <v>48370320</v>
      </c>
      <c r="C274">
        <v>48372540</v>
      </c>
      <c r="D274">
        <v>121548</v>
      </c>
      <c r="E274">
        <v>1</v>
      </c>
      <c r="F274">
        <v>1</v>
      </c>
      <c r="G274">
        <v>1</v>
      </c>
      <c r="H274">
        <v>1</v>
      </c>
      <c r="I274" t="s">
        <v>24</v>
      </c>
      <c r="J274" t="s">
        <v>3</v>
      </c>
      <c r="K274" t="s">
        <v>511</v>
      </c>
      <c r="L274">
        <v>608254</v>
      </c>
      <c r="N274">
        <v>1013</v>
      </c>
      <c r="O274" t="s">
        <v>512</v>
      </c>
      <c r="P274" t="s">
        <v>512</v>
      </c>
      <c r="Q274">
        <v>1</v>
      </c>
      <c r="W274">
        <v>0</v>
      </c>
      <c r="X274">
        <v>-185737400</v>
      </c>
      <c r="Y274">
        <v>2.5000000000000001E-2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1</v>
      </c>
      <c r="AJ274">
        <v>1</v>
      </c>
      <c r="AK274">
        <v>1</v>
      </c>
      <c r="AL274">
        <v>1</v>
      </c>
      <c r="AN274">
        <v>0</v>
      </c>
      <c r="AO274">
        <v>1</v>
      </c>
      <c r="AP274">
        <v>1</v>
      </c>
      <c r="AQ274">
        <v>0</v>
      </c>
      <c r="AR274">
        <v>0</v>
      </c>
      <c r="AS274" t="s">
        <v>3</v>
      </c>
      <c r="AT274">
        <v>0.02</v>
      </c>
      <c r="AU274" t="s">
        <v>160</v>
      </c>
      <c r="AV274">
        <v>2</v>
      </c>
      <c r="AW274">
        <v>2</v>
      </c>
      <c r="AX274">
        <v>48372542</v>
      </c>
      <c r="AY274">
        <v>1</v>
      </c>
      <c r="AZ274">
        <v>0</v>
      </c>
      <c r="BA274">
        <v>275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Y274*Source!I151</f>
        <v>1.0225E-2</v>
      </c>
      <c r="CY274">
        <f>AD274</f>
        <v>0</v>
      </c>
      <c r="CZ274">
        <f>AH274</f>
        <v>0</v>
      </c>
      <c r="DA274">
        <f>AL274</f>
        <v>1</v>
      </c>
      <c r="DB274">
        <v>0</v>
      </c>
    </row>
    <row r="275" spans="1:106">
      <c r="A275">
        <f>ROW(Source!A151)</f>
        <v>151</v>
      </c>
      <c r="B275">
        <v>48370320</v>
      </c>
      <c r="C275">
        <v>48372540</v>
      </c>
      <c r="D275">
        <v>37802578</v>
      </c>
      <c r="E275">
        <v>1</v>
      </c>
      <c r="F275">
        <v>1</v>
      </c>
      <c r="G275">
        <v>1</v>
      </c>
      <c r="H275">
        <v>2</v>
      </c>
      <c r="I275" t="s">
        <v>550</v>
      </c>
      <c r="J275" t="s">
        <v>551</v>
      </c>
      <c r="K275" t="s">
        <v>552</v>
      </c>
      <c r="L275">
        <v>1368</v>
      </c>
      <c r="N275">
        <v>1011</v>
      </c>
      <c r="O275" t="s">
        <v>516</v>
      </c>
      <c r="P275" t="s">
        <v>516</v>
      </c>
      <c r="Q275">
        <v>1</v>
      </c>
      <c r="W275">
        <v>0</v>
      </c>
      <c r="X275">
        <v>1753337916</v>
      </c>
      <c r="Y275">
        <v>2.5000000000000001E-2</v>
      </c>
      <c r="AA275">
        <v>0</v>
      </c>
      <c r="AB275">
        <v>327.64</v>
      </c>
      <c r="AC275">
        <v>252.65</v>
      </c>
      <c r="AD275">
        <v>0</v>
      </c>
      <c r="AE275">
        <v>0</v>
      </c>
      <c r="AF275">
        <v>32.090000000000003</v>
      </c>
      <c r="AG275">
        <v>12.1</v>
      </c>
      <c r="AH275">
        <v>0</v>
      </c>
      <c r="AI275">
        <v>1</v>
      </c>
      <c r="AJ275">
        <v>10.210000000000001</v>
      </c>
      <c r="AK275">
        <v>20.88</v>
      </c>
      <c r="AL275">
        <v>1</v>
      </c>
      <c r="AN275">
        <v>0</v>
      </c>
      <c r="AO275">
        <v>1</v>
      </c>
      <c r="AP275">
        <v>1</v>
      </c>
      <c r="AQ275">
        <v>0</v>
      </c>
      <c r="AR275">
        <v>0</v>
      </c>
      <c r="AS275" t="s">
        <v>3</v>
      </c>
      <c r="AT275">
        <v>0.02</v>
      </c>
      <c r="AU275" t="s">
        <v>160</v>
      </c>
      <c r="AV275">
        <v>0</v>
      </c>
      <c r="AW275">
        <v>2</v>
      </c>
      <c r="AX275">
        <v>48372543</v>
      </c>
      <c r="AY275">
        <v>1</v>
      </c>
      <c r="AZ275">
        <v>0</v>
      </c>
      <c r="BA275">
        <v>276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Y275*Source!I151</f>
        <v>1.0225E-2</v>
      </c>
      <c r="CY275">
        <f>AB275</f>
        <v>327.64</v>
      </c>
      <c r="CZ275">
        <f>AF275</f>
        <v>32.090000000000003</v>
      </c>
      <c r="DA275">
        <f>AJ275</f>
        <v>10.210000000000001</v>
      </c>
      <c r="DB275">
        <v>0</v>
      </c>
    </row>
    <row r="276" spans="1:106">
      <c r="A276">
        <f>ROW(Source!A151)</f>
        <v>151</v>
      </c>
      <c r="B276">
        <v>48370320</v>
      </c>
      <c r="C276">
        <v>48372540</v>
      </c>
      <c r="D276">
        <v>37804456</v>
      </c>
      <c r="E276">
        <v>1</v>
      </c>
      <c r="F276">
        <v>1</v>
      </c>
      <c r="G276">
        <v>1</v>
      </c>
      <c r="H276">
        <v>2</v>
      </c>
      <c r="I276" t="s">
        <v>530</v>
      </c>
      <c r="J276" t="s">
        <v>531</v>
      </c>
      <c r="K276" t="s">
        <v>532</v>
      </c>
      <c r="L276">
        <v>1368</v>
      </c>
      <c r="N276">
        <v>1011</v>
      </c>
      <c r="O276" t="s">
        <v>516</v>
      </c>
      <c r="P276" t="s">
        <v>516</v>
      </c>
      <c r="Q276">
        <v>1</v>
      </c>
      <c r="W276">
        <v>0</v>
      </c>
      <c r="X276">
        <v>-671646184</v>
      </c>
      <c r="Y276">
        <v>0.1875</v>
      </c>
      <c r="AA276">
        <v>0</v>
      </c>
      <c r="AB276">
        <v>844.19</v>
      </c>
      <c r="AC276">
        <v>216.11</v>
      </c>
      <c r="AD276">
        <v>0</v>
      </c>
      <c r="AE276">
        <v>0</v>
      </c>
      <c r="AF276">
        <v>91.76</v>
      </c>
      <c r="AG276">
        <v>10.35</v>
      </c>
      <c r="AH276">
        <v>0</v>
      </c>
      <c r="AI276">
        <v>1</v>
      </c>
      <c r="AJ276">
        <v>9.1999999999999993</v>
      </c>
      <c r="AK276">
        <v>20.88</v>
      </c>
      <c r="AL276">
        <v>1</v>
      </c>
      <c r="AN276">
        <v>0</v>
      </c>
      <c r="AO276">
        <v>1</v>
      </c>
      <c r="AP276">
        <v>1</v>
      </c>
      <c r="AQ276">
        <v>0</v>
      </c>
      <c r="AR276">
        <v>0</v>
      </c>
      <c r="AS276" t="s">
        <v>3</v>
      </c>
      <c r="AT276">
        <v>0.15</v>
      </c>
      <c r="AU276" t="s">
        <v>160</v>
      </c>
      <c r="AV276">
        <v>0</v>
      </c>
      <c r="AW276">
        <v>2</v>
      </c>
      <c r="AX276">
        <v>48372544</v>
      </c>
      <c r="AY276">
        <v>1</v>
      </c>
      <c r="AZ276">
        <v>0</v>
      </c>
      <c r="BA276">
        <v>277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Y276*Source!I151</f>
        <v>7.6687499999999992E-2</v>
      </c>
      <c r="CY276">
        <f>AB276</f>
        <v>844.19</v>
      </c>
      <c r="CZ276">
        <f>AF276</f>
        <v>91.76</v>
      </c>
      <c r="DA276">
        <f>AJ276</f>
        <v>9.1999999999999993</v>
      </c>
      <c r="DB276">
        <v>0</v>
      </c>
    </row>
    <row r="277" spans="1:106">
      <c r="A277">
        <f>ROW(Source!A151)</f>
        <v>151</v>
      </c>
      <c r="B277">
        <v>48370320</v>
      </c>
      <c r="C277">
        <v>48372540</v>
      </c>
      <c r="D277">
        <v>37729978</v>
      </c>
      <c r="E277">
        <v>1</v>
      </c>
      <c r="F277">
        <v>1</v>
      </c>
      <c r="G277">
        <v>1</v>
      </c>
      <c r="H277">
        <v>3</v>
      </c>
      <c r="I277" t="s">
        <v>880</v>
      </c>
      <c r="J277" t="s">
        <v>881</v>
      </c>
      <c r="K277" t="s">
        <v>882</v>
      </c>
      <c r="L277">
        <v>1327</v>
      </c>
      <c r="N277">
        <v>1005</v>
      </c>
      <c r="O277" t="s">
        <v>189</v>
      </c>
      <c r="P277" t="s">
        <v>189</v>
      </c>
      <c r="Q277">
        <v>1</v>
      </c>
      <c r="W277">
        <v>0</v>
      </c>
      <c r="X277">
        <v>1290542317</v>
      </c>
      <c r="Y277">
        <v>0.84</v>
      </c>
      <c r="AA277">
        <v>207.56</v>
      </c>
      <c r="AB277">
        <v>0</v>
      </c>
      <c r="AC277">
        <v>0</v>
      </c>
      <c r="AD277">
        <v>0</v>
      </c>
      <c r="AE277">
        <v>72.319999999999993</v>
      </c>
      <c r="AF277">
        <v>0</v>
      </c>
      <c r="AG277">
        <v>0</v>
      </c>
      <c r="AH277">
        <v>0</v>
      </c>
      <c r="AI277">
        <v>2.87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S277" t="s">
        <v>3</v>
      </c>
      <c r="AT277">
        <v>0.84</v>
      </c>
      <c r="AU277" t="s">
        <v>3</v>
      </c>
      <c r="AV277">
        <v>0</v>
      </c>
      <c r="AW277">
        <v>2</v>
      </c>
      <c r="AX277">
        <v>48372545</v>
      </c>
      <c r="AY277">
        <v>1</v>
      </c>
      <c r="AZ277">
        <v>0</v>
      </c>
      <c r="BA277">
        <v>278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Y277*Source!I151</f>
        <v>0.34355999999999998</v>
      </c>
      <c r="CY277">
        <f>AA277</f>
        <v>207.56</v>
      </c>
      <c r="CZ277">
        <f>AE277</f>
        <v>72.319999999999993</v>
      </c>
      <c r="DA277">
        <f>AI277</f>
        <v>2.87</v>
      </c>
      <c r="DB277">
        <v>0</v>
      </c>
    </row>
    <row r="278" spans="1:106">
      <c r="A278">
        <f>ROW(Source!A151)</f>
        <v>151</v>
      </c>
      <c r="B278">
        <v>48370320</v>
      </c>
      <c r="C278">
        <v>48372540</v>
      </c>
      <c r="D278">
        <v>37731918</v>
      </c>
      <c r="E278">
        <v>1</v>
      </c>
      <c r="F278">
        <v>1</v>
      </c>
      <c r="G278">
        <v>1</v>
      </c>
      <c r="H278">
        <v>3</v>
      </c>
      <c r="I278" t="s">
        <v>883</v>
      </c>
      <c r="J278" t="s">
        <v>884</v>
      </c>
      <c r="K278" t="s">
        <v>885</v>
      </c>
      <c r="L278">
        <v>1348</v>
      </c>
      <c r="N278">
        <v>1009</v>
      </c>
      <c r="O278" t="s">
        <v>536</v>
      </c>
      <c r="P278" t="s">
        <v>536</v>
      </c>
      <c r="Q278">
        <v>1000</v>
      </c>
      <c r="W278">
        <v>0</v>
      </c>
      <c r="X278">
        <v>1606687113</v>
      </c>
      <c r="Y278">
        <v>5.0999999999999997E-2</v>
      </c>
      <c r="AA278">
        <v>17820.099999999999</v>
      </c>
      <c r="AB278">
        <v>0</v>
      </c>
      <c r="AC278">
        <v>0</v>
      </c>
      <c r="AD278">
        <v>0</v>
      </c>
      <c r="AE278">
        <v>4294</v>
      </c>
      <c r="AF278">
        <v>0</v>
      </c>
      <c r="AG278">
        <v>0</v>
      </c>
      <c r="AH278">
        <v>0</v>
      </c>
      <c r="AI278">
        <v>4.1500000000000004</v>
      </c>
      <c r="AJ278">
        <v>1</v>
      </c>
      <c r="AK278">
        <v>1</v>
      </c>
      <c r="AL278">
        <v>1</v>
      </c>
      <c r="AN278">
        <v>0</v>
      </c>
      <c r="AO278">
        <v>1</v>
      </c>
      <c r="AP278">
        <v>0</v>
      </c>
      <c r="AQ278">
        <v>0</v>
      </c>
      <c r="AR278">
        <v>0</v>
      </c>
      <c r="AS278" t="s">
        <v>3</v>
      </c>
      <c r="AT278">
        <v>5.0999999999999997E-2</v>
      </c>
      <c r="AU278" t="s">
        <v>3</v>
      </c>
      <c r="AV278">
        <v>0</v>
      </c>
      <c r="AW278">
        <v>2</v>
      </c>
      <c r="AX278">
        <v>48372546</v>
      </c>
      <c r="AY278">
        <v>1</v>
      </c>
      <c r="AZ278">
        <v>0</v>
      </c>
      <c r="BA278">
        <v>279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Y278*Source!I151</f>
        <v>2.0858999999999999E-2</v>
      </c>
      <c r="CY278">
        <f>AA278</f>
        <v>17820.099999999999</v>
      </c>
      <c r="CZ278">
        <f>AE278</f>
        <v>4294</v>
      </c>
      <c r="DA278">
        <f>AI278</f>
        <v>4.1500000000000004</v>
      </c>
      <c r="DB278">
        <v>0</v>
      </c>
    </row>
    <row r="279" spans="1:106">
      <c r="A279">
        <f>ROW(Source!A151)</f>
        <v>151</v>
      </c>
      <c r="B279">
        <v>48370320</v>
      </c>
      <c r="C279">
        <v>48372540</v>
      </c>
      <c r="D279">
        <v>37729991</v>
      </c>
      <c r="E279">
        <v>1</v>
      </c>
      <c r="F279">
        <v>1</v>
      </c>
      <c r="G279">
        <v>1</v>
      </c>
      <c r="H279">
        <v>3</v>
      </c>
      <c r="I279" t="s">
        <v>625</v>
      </c>
      <c r="J279" t="s">
        <v>626</v>
      </c>
      <c r="K279" t="s">
        <v>627</v>
      </c>
      <c r="L279">
        <v>1346</v>
      </c>
      <c r="N279">
        <v>1009</v>
      </c>
      <c r="O279" t="s">
        <v>172</v>
      </c>
      <c r="P279" t="s">
        <v>172</v>
      </c>
      <c r="Q279">
        <v>1</v>
      </c>
      <c r="W279">
        <v>0</v>
      </c>
      <c r="X279">
        <v>844235703</v>
      </c>
      <c r="Y279">
        <v>0.31</v>
      </c>
      <c r="AA279">
        <v>26.15</v>
      </c>
      <c r="AB279">
        <v>0</v>
      </c>
      <c r="AC279">
        <v>0</v>
      </c>
      <c r="AD279">
        <v>0</v>
      </c>
      <c r="AE279">
        <v>1.82</v>
      </c>
      <c r="AF279">
        <v>0</v>
      </c>
      <c r="AG279">
        <v>0</v>
      </c>
      <c r="AH279">
        <v>0</v>
      </c>
      <c r="AI279">
        <v>14.37</v>
      </c>
      <c r="AJ279">
        <v>1</v>
      </c>
      <c r="AK279">
        <v>1</v>
      </c>
      <c r="AL279">
        <v>1</v>
      </c>
      <c r="AN279">
        <v>0</v>
      </c>
      <c r="AO279">
        <v>1</v>
      </c>
      <c r="AP279">
        <v>0</v>
      </c>
      <c r="AQ279">
        <v>0</v>
      </c>
      <c r="AR279">
        <v>0</v>
      </c>
      <c r="AS279" t="s">
        <v>3</v>
      </c>
      <c r="AT279">
        <v>0.31</v>
      </c>
      <c r="AU279" t="s">
        <v>3</v>
      </c>
      <c r="AV279">
        <v>0</v>
      </c>
      <c r="AW279">
        <v>2</v>
      </c>
      <c r="AX279">
        <v>48372547</v>
      </c>
      <c r="AY279">
        <v>1</v>
      </c>
      <c r="AZ279">
        <v>0</v>
      </c>
      <c r="BA279">
        <v>280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Y279*Source!I151</f>
        <v>0.12678999999999999</v>
      </c>
      <c r="CY279">
        <f>AA279</f>
        <v>26.15</v>
      </c>
      <c r="CZ279">
        <f>AE279</f>
        <v>1.82</v>
      </c>
      <c r="DA279">
        <f>AI279</f>
        <v>14.37</v>
      </c>
      <c r="DB279">
        <v>0</v>
      </c>
    </row>
    <row r="280" spans="1:106">
      <c r="A280">
        <f>ROW(Source!A151)</f>
        <v>151</v>
      </c>
      <c r="B280">
        <v>48370320</v>
      </c>
      <c r="C280">
        <v>48372540</v>
      </c>
      <c r="D280">
        <v>37732580</v>
      </c>
      <c r="E280">
        <v>1</v>
      </c>
      <c r="F280">
        <v>1</v>
      </c>
      <c r="G280">
        <v>1</v>
      </c>
      <c r="H280">
        <v>3</v>
      </c>
      <c r="I280" t="s">
        <v>886</v>
      </c>
      <c r="J280" t="s">
        <v>887</v>
      </c>
      <c r="K280" t="s">
        <v>888</v>
      </c>
      <c r="L280">
        <v>1348</v>
      </c>
      <c r="N280">
        <v>1009</v>
      </c>
      <c r="O280" t="s">
        <v>536</v>
      </c>
      <c r="P280" t="s">
        <v>536</v>
      </c>
      <c r="Q280">
        <v>1000</v>
      </c>
      <c r="W280">
        <v>0</v>
      </c>
      <c r="X280">
        <v>784182181</v>
      </c>
      <c r="Y280">
        <v>6.3E-2</v>
      </c>
      <c r="AA280">
        <v>100007.26</v>
      </c>
      <c r="AB280">
        <v>0</v>
      </c>
      <c r="AC280">
        <v>0</v>
      </c>
      <c r="AD280">
        <v>0</v>
      </c>
      <c r="AE280">
        <v>15481</v>
      </c>
      <c r="AF280">
        <v>0</v>
      </c>
      <c r="AG280">
        <v>0</v>
      </c>
      <c r="AH280">
        <v>0</v>
      </c>
      <c r="AI280">
        <v>6.46</v>
      </c>
      <c r="AJ280">
        <v>1</v>
      </c>
      <c r="AK280">
        <v>1</v>
      </c>
      <c r="AL280">
        <v>1</v>
      </c>
      <c r="AN280">
        <v>0</v>
      </c>
      <c r="AO280">
        <v>1</v>
      </c>
      <c r="AP280">
        <v>0</v>
      </c>
      <c r="AQ280">
        <v>0</v>
      </c>
      <c r="AR280">
        <v>0</v>
      </c>
      <c r="AS280" t="s">
        <v>3</v>
      </c>
      <c r="AT280">
        <v>6.3E-2</v>
      </c>
      <c r="AU280" t="s">
        <v>3</v>
      </c>
      <c r="AV280">
        <v>0</v>
      </c>
      <c r="AW280">
        <v>2</v>
      </c>
      <c r="AX280">
        <v>48372548</v>
      </c>
      <c r="AY280">
        <v>1</v>
      </c>
      <c r="AZ280">
        <v>0</v>
      </c>
      <c r="BA280">
        <v>281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Y280*Source!I151</f>
        <v>2.5766999999999998E-2</v>
      </c>
      <c r="CY280">
        <f>AA280</f>
        <v>100007.26</v>
      </c>
      <c r="CZ280">
        <f>AE280</f>
        <v>15481</v>
      </c>
      <c r="DA280">
        <f>AI280</f>
        <v>6.46</v>
      </c>
      <c r="DB280">
        <v>0</v>
      </c>
    </row>
    <row r="281" spans="1:106">
      <c r="A281">
        <f>ROW(Source!A152)</f>
        <v>152</v>
      </c>
      <c r="B281">
        <v>48370320</v>
      </c>
      <c r="C281">
        <v>48372584</v>
      </c>
      <c r="D281">
        <v>23134555</v>
      </c>
      <c r="E281">
        <v>1</v>
      </c>
      <c r="F281">
        <v>1</v>
      </c>
      <c r="G281">
        <v>1</v>
      </c>
      <c r="H281">
        <v>1</v>
      </c>
      <c r="I281" t="s">
        <v>520</v>
      </c>
      <c r="J281" t="s">
        <v>3</v>
      </c>
      <c r="K281" t="s">
        <v>521</v>
      </c>
      <c r="L281">
        <v>1369</v>
      </c>
      <c r="N281">
        <v>1013</v>
      </c>
      <c r="O281" t="s">
        <v>510</v>
      </c>
      <c r="P281" t="s">
        <v>510</v>
      </c>
      <c r="Q281">
        <v>1</v>
      </c>
      <c r="W281">
        <v>0</v>
      </c>
      <c r="X281">
        <v>-1593017532</v>
      </c>
      <c r="Y281">
        <v>61.984999999999992</v>
      </c>
      <c r="AA281">
        <v>0</v>
      </c>
      <c r="AB281">
        <v>0</v>
      </c>
      <c r="AC281">
        <v>0</v>
      </c>
      <c r="AD281">
        <v>8.3800000000000008</v>
      </c>
      <c r="AE281">
        <v>0</v>
      </c>
      <c r="AF281">
        <v>0</v>
      </c>
      <c r="AG281">
        <v>0</v>
      </c>
      <c r="AH281">
        <v>8.3800000000000008</v>
      </c>
      <c r="AI281">
        <v>1</v>
      </c>
      <c r="AJ281">
        <v>1</v>
      </c>
      <c r="AK281">
        <v>1</v>
      </c>
      <c r="AL281">
        <v>1</v>
      </c>
      <c r="AN281">
        <v>0</v>
      </c>
      <c r="AO281">
        <v>1</v>
      </c>
      <c r="AP281">
        <v>1</v>
      </c>
      <c r="AQ281">
        <v>0</v>
      </c>
      <c r="AR281">
        <v>0</v>
      </c>
      <c r="AS281" t="s">
        <v>3</v>
      </c>
      <c r="AT281">
        <v>53.9</v>
      </c>
      <c r="AU281" t="s">
        <v>161</v>
      </c>
      <c r="AV281">
        <v>1</v>
      </c>
      <c r="AW281">
        <v>2</v>
      </c>
      <c r="AX281">
        <v>48372585</v>
      </c>
      <c r="AY281">
        <v>1</v>
      </c>
      <c r="AZ281">
        <v>0</v>
      </c>
      <c r="BA281">
        <v>282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Y281*Source!I152</f>
        <v>21.806322999999999</v>
      </c>
      <c r="CY281">
        <f>AD281</f>
        <v>8.3800000000000008</v>
      </c>
      <c r="CZ281">
        <f>AH281</f>
        <v>8.3800000000000008</v>
      </c>
      <c r="DA281">
        <f>AL281</f>
        <v>1</v>
      </c>
      <c r="DB281">
        <v>0</v>
      </c>
    </row>
    <row r="282" spans="1:106">
      <c r="A282">
        <f>ROW(Source!A152)</f>
        <v>152</v>
      </c>
      <c r="B282">
        <v>48370320</v>
      </c>
      <c r="C282">
        <v>48372584</v>
      </c>
      <c r="D282">
        <v>121548</v>
      </c>
      <c r="E282">
        <v>1</v>
      </c>
      <c r="F282">
        <v>1</v>
      </c>
      <c r="G282">
        <v>1</v>
      </c>
      <c r="H282">
        <v>1</v>
      </c>
      <c r="I282" t="s">
        <v>24</v>
      </c>
      <c r="J282" t="s">
        <v>3</v>
      </c>
      <c r="K282" t="s">
        <v>511</v>
      </c>
      <c r="L282">
        <v>608254</v>
      </c>
      <c r="N282">
        <v>1013</v>
      </c>
      <c r="O282" t="s">
        <v>512</v>
      </c>
      <c r="P282" t="s">
        <v>512</v>
      </c>
      <c r="Q282">
        <v>1</v>
      </c>
      <c r="W282">
        <v>0</v>
      </c>
      <c r="X282">
        <v>-185737400</v>
      </c>
      <c r="Y282">
        <v>2.5000000000000001E-2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1</v>
      </c>
      <c r="AJ282">
        <v>1</v>
      </c>
      <c r="AK282">
        <v>1</v>
      </c>
      <c r="AL282">
        <v>1</v>
      </c>
      <c r="AN282">
        <v>0</v>
      </c>
      <c r="AO282">
        <v>1</v>
      </c>
      <c r="AP282">
        <v>1</v>
      </c>
      <c r="AQ282">
        <v>0</v>
      </c>
      <c r="AR282">
        <v>0</v>
      </c>
      <c r="AS282" t="s">
        <v>3</v>
      </c>
      <c r="AT282">
        <v>0.02</v>
      </c>
      <c r="AU282" t="s">
        <v>160</v>
      </c>
      <c r="AV282">
        <v>2</v>
      </c>
      <c r="AW282">
        <v>2</v>
      </c>
      <c r="AX282">
        <v>48372586</v>
      </c>
      <c r="AY282">
        <v>1</v>
      </c>
      <c r="AZ282">
        <v>0</v>
      </c>
      <c r="BA282">
        <v>283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Y282*Source!I152</f>
        <v>8.7950000000000007E-3</v>
      </c>
      <c r="CY282">
        <f>AD282</f>
        <v>0</v>
      </c>
      <c r="CZ282">
        <f>AH282</f>
        <v>0</v>
      </c>
      <c r="DA282">
        <f>AL282</f>
        <v>1</v>
      </c>
      <c r="DB282">
        <v>0</v>
      </c>
    </row>
    <row r="283" spans="1:106">
      <c r="A283">
        <f>ROW(Source!A152)</f>
        <v>152</v>
      </c>
      <c r="B283">
        <v>48370320</v>
      </c>
      <c r="C283">
        <v>48372584</v>
      </c>
      <c r="D283">
        <v>37802578</v>
      </c>
      <c r="E283">
        <v>1</v>
      </c>
      <c r="F283">
        <v>1</v>
      </c>
      <c r="G283">
        <v>1</v>
      </c>
      <c r="H283">
        <v>2</v>
      </c>
      <c r="I283" t="s">
        <v>550</v>
      </c>
      <c r="J283" t="s">
        <v>551</v>
      </c>
      <c r="K283" t="s">
        <v>552</v>
      </c>
      <c r="L283">
        <v>1368</v>
      </c>
      <c r="N283">
        <v>1011</v>
      </c>
      <c r="O283" t="s">
        <v>516</v>
      </c>
      <c r="P283" t="s">
        <v>516</v>
      </c>
      <c r="Q283">
        <v>1</v>
      </c>
      <c r="W283">
        <v>0</v>
      </c>
      <c r="X283">
        <v>1753337916</v>
      </c>
      <c r="Y283">
        <v>2.5000000000000001E-2</v>
      </c>
      <c r="AA283">
        <v>0</v>
      </c>
      <c r="AB283">
        <v>327.64</v>
      </c>
      <c r="AC283">
        <v>252.65</v>
      </c>
      <c r="AD283">
        <v>0</v>
      </c>
      <c r="AE283">
        <v>0</v>
      </c>
      <c r="AF283">
        <v>32.090000000000003</v>
      </c>
      <c r="AG283">
        <v>12.1</v>
      </c>
      <c r="AH283">
        <v>0</v>
      </c>
      <c r="AI283">
        <v>1</v>
      </c>
      <c r="AJ283">
        <v>10.210000000000001</v>
      </c>
      <c r="AK283">
        <v>20.88</v>
      </c>
      <c r="AL283">
        <v>1</v>
      </c>
      <c r="AN283">
        <v>0</v>
      </c>
      <c r="AO283">
        <v>1</v>
      </c>
      <c r="AP283">
        <v>1</v>
      </c>
      <c r="AQ283">
        <v>0</v>
      </c>
      <c r="AR283">
        <v>0</v>
      </c>
      <c r="AS283" t="s">
        <v>3</v>
      </c>
      <c r="AT283">
        <v>0.02</v>
      </c>
      <c r="AU283" t="s">
        <v>160</v>
      </c>
      <c r="AV283">
        <v>0</v>
      </c>
      <c r="AW283">
        <v>2</v>
      </c>
      <c r="AX283">
        <v>48372587</v>
      </c>
      <c r="AY283">
        <v>1</v>
      </c>
      <c r="AZ283">
        <v>0</v>
      </c>
      <c r="BA283">
        <v>284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>Y283*Source!I152</f>
        <v>8.7950000000000007E-3</v>
      </c>
      <c r="CY283">
        <f>AB283</f>
        <v>327.64</v>
      </c>
      <c r="CZ283">
        <f>AF283</f>
        <v>32.090000000000003</v>
      </c>
      <c r="DA283">
        <f>AJ283</f>
        <v>10.210000000000001</v>
      </c>
      <c r="DB283">
        <v>0</v>
      </c>
    </row>
    <row r="284" spans="1:106">
      <c r="A284">
        <f>ROW(Source!A152)</f>
        <v>152</v>
      </c>
      <c r="B284">
        <v>48370320</v>
      </c>
      <c r="C284">
        <v>48372584</v>
      </c>
      <c r="D284">
        <v>37804456</v>
      </c>
      <c r="E284">
        <v>1</v>
      </c>
      <c r="F284">
        <v>1</v>
      </c>
      <c r="G284">
        <v>1</v>
      </c>
      <c r="H284">
        <v>2</v>
      </c>
      <c r="I284" t="s">
        <v>530</v>
      </c>
      <c r="J284" t="s">
        <v>531</v>
      </c>
      <c r="K284" t="s">
        <v>532</v>
      </c>
      <c r="L284">
        <v>1368</v>
      </c>
      <c r="N284">
        <v>1011</v>
      </c>
      <c r="O284" t="s">
        <v>516</v>
      </c>
      <c r="P284" t="s">
        <v>516</v>
      </c>
      <c r="Q284">
        <v>1</v>
      </c>
      <c r="W284">
        <v>0</v>
      </c>
      <c r="X284">
        <v>-671646184</v>
      </c>
      <c r="Y284">
        <v>0.2</v>
      </c>
      <c r="AA284">
        <v>0</v>
      </c>
      <c r="AB284">
        <v>844.19</v>
      </c>
      <c r="AC284">
        <v>216.11</v>
      </c>
      <c r="AD284">
        <v>0</v>
      </c>
      <c r="AE284">
        <v>0</v>
      </c>
      <c r="AF284">
        <v>91.76</v>
      </c>
      <c r="AG284">
        <v>10.35</v>
      </c>
      <c r="AH284">
        <v>0</v>
      </c>
      <c r="AI284">
        <v>1</v>
      </c>
      <c r="AJ284">
        <v>9.1999999999999993</v>
      </c>
      <c r="AK284">
        <v>20.88</v>
      </c>
      <c r="AL284">
        <v>1</v>
      </c>
      <c r="AN284">
        <v>0</v>
      </c>
      <c r="AO284">
        <v>1</v>
      </c>
      <c r="AP284">
        <v>1</v>
      </c>
      <c r="AQ284">
        <v>0</v>
      </c>
      <c r="AR284">
        <v>0</v>
      </c>
      <c r="AS284" t="s">
        <v>3</v>
      </c>
      <c r="AT284">
        <v>0.16</v>
      </c>
      <c r="AU284" t="s">
        <v>160</v>
      </c>
      <c r="AV284">
        <v>0</v>
      </c>
      <c r="AW284">
        <v>2</v>
      </c>
      <c r="AX284">
        <v>48372588</v>
      </c>
      <c r="AY284">
        <v>1</v>
      </c>
      <c r="AZ284">
        <v>0</v>
      </c>
      <c r="BA284">
        <v>285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>Y284*Source!I152</f>
        <v>7.0360000000000006E-2</v>
      </c>
      <c r="CY284">
        <f>AB284</f>
        <v>844.19</v>
      </c>
      <c r="CZ284">
        <f>AF284</f>
        <v>91.76</v>
      </c>
      <c r="DA284">
        <f>AJ284</f>
        <v>9.1999999999999993</v>
      </c>
      <c r="DB284">
        <v>0</v>
      </c>
    </row>
    <row r="285" spans="1:106">
      <c r="A285">
        <f>ROW(Source!A152)</f>
        <v>152</v>
      </c>
      <c r="B285">
        <v>48370320</v>
      </c>
      <c r="C285">
        <v>48372584</v>
      </c>
      <c r="D285">
        <v>37729978</v>
      </c>
      <c r="E285">
        <v>1</v>
      </c>
      <c r="F285">
        <v>1</v>
      </c>
      <c r="G285">
        <v>1</v>
      </c>
      <c r="H285">
        <v>3</v>
      </c>
      <c r="I285" t="s">
        <v>880</v>
      </c>
      <c r="J285" t="s">
        <v>881</v>
      </c>
      <c r="K285" t="s">
        <v>882</v>
      </c>
      <c r="L285">
        <v>1327</v>
      </c>
      <c r="N285">
        <v>1005</v>
      </c>
      <c r="O285" t="s">
        <v>189</v>
      </c>
      <c r="P285" t="s">
        <v>189</v>
      </c>
      <c r="Q285">
        <v>1</v>
      </c>
      <c r="W285">
        <v>0</v>
      </c>
      <c r="X285">
        <v>1290542317</v>
      </c>
      <c r="Y285">
        <v>0.84</v>
      </c>
      <c r="AA285">
        <v>207.56</v>
      </c>
      <c r="AB285">
        <v>0</v>
      </c>
      <c r="AC285">
        <v>0</v>
      </c>
      <c r="AD285">
        <v>0</v>
      </c>
      <c r="AE285">
        <v>72.319999999999993</v>
      </c>
      <c r="AF285">
        <v>0</v>
      </c>
      <c r="AG285">
        <v>0</v>
      </c>
      <c r="AH285">
        <v>0</v>
      </c>
      <c r="AI285">
        <v>2.87</v>
      </c>
      <c r="AJ285">
        <v>1</v>
      </c>
      <c r="AK285">
        <v>1</v>
      </c>
      <c r="AL285">
        <v>1</v>
      </c>
      <c r="AN285">
        <v>0</v>
      </c>
      <c r="AO285">
        <v>1</v>
      </c>
      <c r="AP285">
        <v>0</v>
      </c>
      <c r="AQ285">
        <v>0</v>
      </c>
      <c r="AR285">
        <v>0</v>
      </c>
      <c r="AS285" t="s">
        <v>3</v>
      </c>
      <c r="AT285">
        <v>0.84</v>
      </c>
      <c r="AU285" t="s">
        <v>3</v>
      </c>
      <c r="AV285">
        <v>0</v>
      </c>
      <c r="AW285">
        <v>2</v>
      </c>
      <c r="AX285">
        <v>48372589</v>
      </c>
      <c r="AY285">
        <v>1</v>
      </c>
      <c r="AZ285">
        <v>0</v>
      </c>
      <c r="BA285">
        <v>286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>Y285*Source!I152</f>
        <v>0.295512</v>
      </c>
      <c r="CY285">
        <f>AA285</f>
        <v>207.56</v>
      </c>
      <c r="CZ285">
        <f>AE285</f>
        <v>72.319999999999993</v>
      </c>
      <c r="DA285">
        <f>AI285</f>
        <v>2.87</v>
      </c>
      <c r="DB285">
        <v>0</v>
      </c>
    </row>
    <row r="286" spans="1:106">
      <c r="A286">
        <f>ROW(Source!A152)</f>
        <v>152</v>
      </c>
      <c r="B286">
        <v>48370320</v>
      </c>
      <c r="C286">
        <v>48372584</v>
      </c>
      <c r="D286">
        <v>37731918</v>
      </c>
      <c r="E286">
        <v>1</v>
      </c>
      <c r="F286">
        <v>1</v>
      </c>
      <c r="G286">
        <v>1</v>
      </c>
      <c r="H286">
        <v>3</v>
      </c>
      <c r="I286" t="s">
        <v>883</v>
      </c>
      <c r="J286" t="s">
        <v>884</v>
      </c>
      <c r="K286" t="s">
        <v>885</v>
      </c>
      <c r="L286">
        <v>1348</v>
      </c>
      <c r="N286">
        <v>1009</v>
      </c>
      <c r="O286" t="s">
        <v>536</v>
      </c>
      <c r="P286" t="s">
        <v>536</v>
      </c>
      <c r="Q286">
        <v>1000</v>
      </c>
      <c r="W286">
        <v>0</v>
      </c>
      <c r="X286">
        <v>1606687113</v>
      </c>
      <c r="Y286">
        <v>5.5E-2</v>
      </c>
      <c r="AA286">
        <v>17820.099999999999</v>
      </c>
      <c r="AB286">
        <v>0</v>
      </c>
      <c r="AC286">
        <v>0</v>
      </c>
      <c r="AD286">
        <v>0</v>
      </c>
      <c r="AE286">
        <v>4294</v>
      </c>
      <c r="AF286">
        <v>0</v>
      </c>
      <c r="AG286">
        <v>0</v>
      </c>
      <c r="AH286">
        <v>0</v>
      </c>
      <c r="AI286">
        <v>4.1500000000000004</v>
      </c>
      <c r="AJ286">
        <v>1</v>
      </c>
      <c r="AK286">
        <v>1</v>
      </c>
      <c r="AL286">
        <v>1</v>
      </c>
      <c r="AN286">
        <v>0</v>
      </c>
      <c r="AO286">
        <v>1</v>
      </c>
      <c r="AP286">
        <v>0</v>
      </c>
      <c r="AQ286">
        <v>0</v>
      </c>
      <c r="AR286">
        <v>0</v>
      </c>
      <c r="AS286" t="s">
        <v>3</v>
      </c>
      <c r="AT286">
        <v>5.5E-2</v>
      </c>
      <c r="AU286" t="s">
        <v>3</v>
      </c>
      <c r="AV286">
        <v>0</v>
      </c>
      <c r="AW286">
        <v>2</v>
      </c>
      <c r="AX286">
        <v>48372590</v>
      </c>
      <c r="AY286">
        <v>1</v>
      </c>
      <c r="AZ286">
        <v>0</v>
      </c>
      <c r="BA286">
        <v>287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>Y286*Source!I152</f>
        <v>1.9349000000000002E-2</v>
      </c>
      <c r="CY286">
        <f>AA286</f>
        <v>17820.099999999999</v>
      </c>
      <c r="CZ286">
        <f>AE286</f>
        <v>4294</v>
      </c>
      <c r="DA286">
        <f>AI286</f>
        <v>4.1500000000000004</v>
      </c>
      <c r="DB286">
        <v>0</v>
      </c>
    </row>
    <row r="287" spans="1:106">
      <c r="A287">
        <f>ROW(Source!A152)</f>
        <v>152</v>
      </c>
      <c r="B287">
        <v>48370320</v>
      </c>
      <c r="C287">
        <v>48372584</v>
      </c>
      <c r="D287">
        <v>37729991</v>
      </c>
      <c r="E287">
        <v>1</v>
      </c>
      <c r="F287">
        <v>1</v>
      </c>
      <c r="G287">
        <v>1</v>
      </c>
      <c r="H287">
        <v>3</v>
      </c>
      <c r="I287" t="s">
        <v>625</v>
      </c>
      <c r="J287" t="s">
        <v>626</v>
      </c>
      <c r="K287" t="s">
        <v>627</v>
      </c>
      <c r="L287">
        <v>1346</v>
      </c>
      <c r="N287">
        <v>1009</v>
      </c>
      <c r="O287" t="s">
        <v>172</v>
      </c>
      <c r="P287" t="s">
        <v>172</v>
      </c>
      <c r="Q287">
        <v>1</v>
      </c>
      <c r="W287">
        <v>0</v>
      </c>
      <c r="X287">
        <v>844235703</v>
      </c>
      <c r="Y287">
        <v>0.31</v>
      </c>
      <c r="AA287">
        <v>26.15</v>
      </c>
      <c r="AB287">
        <v>0</v>
      </c>
      <c r="AC287">
        <v>0</v>
      </c>
      <c r="AD287">
        <v>0</v>
      </c>
      <c r="AE287">
        <v>1.82</v>
      </c>
      <c r="AF287">
        <v>0</v>
      </c>
      <c r="AG287">
        <v>0</v>
      </c>
      <c r="AH287">
        <v>0</v>
      </c>
      <c r="AI287">
        <v>14.37</v>
      </c>
      <c r="AJ287">
        <v>1</v>
      </c>
      <c r="AK287">
        <v>1</v>
      </c>
      <c r="AL287">
        <v>1</v>
      </c>
      <c r="AN287">
        <v>0</v>
      </c>
      <c r="AO287">
        <v>1</v>
      </c>
      <c r="AP287">
        <v>0</v>
      </c>
      <c r="AQ287">
        <v>0</v>
      </c>
      <c r="AR287">
        <v>0</v>
      </c>
      <c r="AS287" t="s">
        <v>3</v>
      </c>
      <c r="AT287">
        <v>0.31</v>
      </c>
      <c r="AU287" t="s">
        <v>3</v>
      </c>
      <c r="AV287">
        <v>0</v>
      </c>
      <c r="AW287">
        <v>2</v>
      </c>
      <c r="AX287">
        <v>48372591</v>
      </c>
      <c r="AY287">
        <v>1</v>
      </c>
      <c r="AZ287">
        <v>0</v>
      </c>
      <c r="BA287">
        <v>288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>Y287*Source!I152</f>
        <v>0.109058</v>
      </c>
      <c r="CY287">
        <f>AA287</f>
        <v>26.15</v>
      </c>
      <c r="CZ287">
        <f>AE287</f>
        <v>1.82</v>
      </c>
      <c r="DA287">
        <f>AI287</f>
        <v>14.37</v>
      </c>
      <c r="DB287">
        <v>0</v>
      </c>
    </row>
    <row r="288" spans="1:106">
      <c r="A288">
        <f>ROW(Source!A152)</f>
        <v>152</v>
      </c>
      <c r="B288">
        <v>48370320</v>
      </c>
      <c r="C288">
        <v>48372584</v>
      </c>
      <c r="D288">
        <v>37732580</v>
      </c>
      <c r="E288">
        <v>1</v>
      </c>
      <c r="F288">
        <v>1</v>
      </c>
      <c r="G288">
        <v>1</v>
      </c>
      <c r="H288">
        <v>3</v>
      </c>
      <c r="I288" t="s">
        <v>886</v>
      </c>
      <c r="J288" t="s">
        <v>887</v>
      </c>
      <c r="K288" t="s">
        <v>888</v>
      </c>
      <c r="L288">
        <v>1348</v>
      </c>
      <c r="N288">
        <v>1009</v>
      </c>
      <c r="O288" t="s">
        <v>536</v>
      </c>
      <c r="P288" t="s">
        <v>536</v>
      </c>
      <c r="Q288">
        <v>1000</v>
      </c>
      <c r="W288">
        <v>0</v>
      </c>
      <c r="X288">
        <v>784182181</v>
      </c>
      <c r="Y288">
        <v>6.9000000000000006E-2</v>
      </c>
      <c r="AA288">
        <v>100007.26</v>
      </c>
      <c r="AB288">
        <v>0</v>
      </c>
      <c r="AC288">
        <v>0</v>
      </c>
      <c r="AD288">
        <v>0</v>
      </c>
      <c r="AE288">
        <v>15481</v>
      </c>
      <c r="AF288">
        <v>0</v>
      </c>
      <c r="AG288">
        <v>0</v>
      </c>
      <c r="AH288">
        <v>0</v>
      </c>
      <c r="AI288">
        <v>6.46</v>
      </c>
      <c r="AJ288">
        <v>1</v>
      </c>
      <c r="AK288">
        <v>1</v>
      </c>
      <c r="AL288">
        <v>1</v>
      </c>
      <c r="AN288">
        <v>0</v>
      </c>
      <c r="AO288">
        <v>1</v>
      </c>
      <c r="AP288">
        <v>0</v>
      </c>
      <c r="AQ288">
        <v>0</v>
      </c>
      <c r="AR288">
        <v>0</v>
      </c>
      <c r="AS288" t="s">
        <v>3</v>
      </c>
      <c r="AT288">
        <v>6.9000000000000006E-2</v>
      </c>
      <c r="AU288" t="s">
        <v>3</v>
      </c>
      <c r="AV288">
        <v>0</v>
      </c>
      <c r="AW288">
        <v>2</v>
      </c>
      <c r="AX288">
        <v>48372592</v>
      </c>
      <c r="AY288">
        <v>1</v>
      </c>
      <c r="AZ288">
        <v>0</v>
      </c>
      <c r="BA288">
        <v>289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>Y288*Source!I152</f>
        <v>2.4274200000000003E-2</v>
      </c>
      <c r="CY288">
        <f>AA288</f>
        <v>100007.26</v>
      </c>
      <c r="CZ288">
        <f>AE288</f>
        <v>15481</v>
      </c>
      <c r="DA288">
        <f>AI288</f>
        <v>6.46</v>
      </c>
      <c r="DB288">
        <v>0</v>
      </c>
    </row>
    <row r="289" spans="1:106">
      <c r="A289">
        <f>ROW(Source!A153)</f>
        <v>153</v>
      </c>
      <c r="B289">
        <v>48370320</v>
      </c>
      <c r="C289">
        <v>48372097</v>
      </c>
      <c r="D289">
        <v>23132590</v>
      </c>
      <c r="E289">
        <v>1</v>
      </c>
      <c r="F289">
        <v>1</v>
      </c>
      <c r="G289">
        <v>1</v>
      </c>
      <c r="H289">
        <v>1</v>
      </c>
      <c r="I289" t="s">
        <v>889</v>
      </c>
      <c r="J289" t="s">
        <v>3</v>
      </c>
      <c r="K289" t="s">
        <v>890</v>
      </c>
      <c r="L289">
        <v>1369</v>
      </c>
      <c r="N289">
        <v>1013</v>
      </c>
      <c r="O289" t="s">
        <v>510</v>
      </c>
      <c r="P289" t="s">
        <v>510</v>
      </c>
      <c r="Q289">
        <v>1</v>
      </c>
      <c r="W289">
        <v>0</v>
      </c>
      <c r="X289">
        <v>1935273774</v>
      </c>
      <c r="Y289">
        <v>45.436499999999995</v>
      </c>
      <c r="AA289">
        <v>0</v>
      </c>
      <c r="AB289">
        <v>0</v>
      </c>
      <c r="AC289">
        <v>0</v>
      </c>
      <c r="AD289">
        <v>7.43</v>
      </c>
      <c r="AE289">
        <v>0</v>
      </c>
      <c r="AF289">
        <v>0</v>
      </c>
      <c r="AG289">
        <v>0</v>
      </c>
      <c r="AH289">
        <v>7.43</v>
      </c>
      <c r="AI289">
        <v>1</v>
      </c>
      <c r="AJ289">
        <v>1</v>
      </c>
      <c r="AK289">
        <v>1</v>
      </c>
      <c r="AL289">
        <v>1</v>
      </c>
      <c r="AN289">
        <v>0</v>
      </c>
      <c r="AO289">
        <v>1</v>
      </c>
      <c r="AP289">
        <v>1</v>
      </c>
      <c r="AQ289">
        <v>0</v>
      </c>
      <c r="AR289">
        <v>0</v>
      </c>
      <c r="AS289" t="s">
        <v>3</v>
      </c>
      <c r="AT289">
        <v>39.51</v>
      </c>
      <c r="AU289" t="s">
        <v>161</v>
      </c>
      <c r="AV289">
        <v>1</v>
      </c>
      <c r="AW289">
        <v>2</v>
      </c>
      <c r="AX289">
        <v>48372098</v>
      </c>
      <c r="AY289">
        <v>1</v>
      </c>
      <c r="AZ289">
        <v>0</v>
      </c>
      <c r="BA289">
        <v>290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>Y289*Source!I153</f>
        <v>16.311703499999997</v>
      </c>
      <c r="CY289">
        <f>AD289</f>
        <v>7.43</v>
      </c>
      <c r="CZ289">
        <f>AH289</f>
        <v>7.43</v>
      </c>
      <c r="DA289">
        <f>AL289</f>
        <v>1</v>
      </c>
      <c r="DB289">
        <v>0</v>
      </c>
    </row>
    <row r="290" spans="1:106">
      <c r="A290">
        <f>ROW(Source!A153)</f>
        <v>153</v>
      </c>
      <c r="B290">
        <v>48370320</v>
      </c>
      <c r="C290">
        <v>48372097</v>
      </c>
      <c r="D290">
        <v>121548</v>
      </c>
      <c r="E290">
        <v>1</v>
      </c>
      <c r="F290">
        <v>1</v>
      </c>
      <c r="G290">
        <v>1</v>
      </c>
      <c r="H290">
        <v>1</v>
      </c>
      <c r="I290" t="s">
        <v>24</v>
      </c>
      <c r="J290" t="s">
        <v>3</v>
      </c>
      <c r="K290" t="s">
        <v>511</v>
      </c>
      <c r="L290">
        <v>608254</v>
      </c>
      <c r="N290">
        <v>1013</v>
      </c>
      <c r="O290" t="s">
        <v>512</v>
      </c>
      <c r="P290" t="s">
        <v>512</v>
      </c>
      <c r="Q290">
        <v>1</v>
      </c>
      <c r="W290">
        <v>0</v>
      </c>
      <c r="X290">
        <v>-185737400</v>
      </c>
      <c r="Y290">
        <v>1.5874999999999999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1</v>
      </c>
      <c r="AJ290">
        <v>1</v>
      </c>
      <c r="AK290">
        <v>1</v>
      </c>
      <c r="AL290">
        <v>1</v>
      </c>
      <c r="AN290">
        <v>0</v>
      </c>
      <c r="AO290">
        <v>1</v>
      </c>
      <c r="AP290">
        <v>1</v>
      </c>
      <c r="AQ290">
        <v>0</v>
      </c>
      <c r="AR290">
        <v>0</v>
      </c>
      <c r="AS290" t="s">
        <v>3</v>
      </c>
      <c r="AT290">
        <v>1.27</v>
      </c>
      <c r="AU290" t="s">
        <v>160</v>
      </c>
      <c r="AV290">
        <v>2</v>
      </c>
      <c r="AW290">
        <v>2</v>
      </c>
      <c r="AX290">
        <v>48372099</v>
      </c>
      <c r="AY290">
        <v>1</v>
      </c>
      <c r="AZ290">
        <v>0</v>
      </c>
      <c r="BA290">
        <v>291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>Y290*Source!I153</f>
        <v>0.56991249999999993</v>
      </c>
      <c r="CY290">
        <f>AD290</f>
        <v>0</v>
      </c>
      <c r="CZ290">
        <f>AH290</f>
        <v>0</v>
      </c>
      <c r="DA290">
        <f>AL290</f>
        <v>1</v>
      </c>
      <c r="DB290">
        <v>0</v>
      </c>
    </row>
    <row r="291" spans="1:106">
      <c r="A291">
        <f>ROW(Source!A153)</f>
        <v>153</v>
      </c>
      <c r="B291">
        <v>48370320</v>
      </c>
      <c r="C291">
        <v>48372097</v>
      </c>
      <c r="D291">
        <v>37802578</v>
      </c>
      <c r="E291">
        <v>1</v>
      </c>
      <c r="F291">
        <v>1</v>
      </c>
      <c r="G291">
        <v>1</v>
      </c>
      <c r="H291">
        <v>2</v>
      </c>
      <c r="I291" t="s">
        <v>550</v>
      </c>
      <c r="J291" t="s">
        <v>551</v>
      </c>
      <c r="K291" t="s">
        <v>552</v>
      </c>
      <c r="L291">
        <v>1368</v>
      </c>
      <c r="N291">
        <v>1011</v>
      </c>
      <c r="O291" t="s">
        <v>516</v>
      </c>
      <c r="P291" t="s">
        <v>516</v>
      </c>
      <c r="Q291">
        <v>1</v>
      </c>
      <c r="W291">
        <v>0</v>
      </c>
      <c r="X291">
        <v>1753337916</v>
      </c>
      <c r="Y291">
        <v>1.5874999999999999</v>
      </c>
      <c r="AA291">
        <v>0</v>
      </c>
      <c r="AB291">
        <v>327.64</v>
      </c>
      <c r="AC291">
        <v>252.65</v>
      </c>
      <c r="AD291">
        <v>0</v>
      </c>
      <c r="AE291">
        <v>0</v>
      </c>
      <c r="AF291">
        <v>32.090000000000003</v>
      </c>
      <c r="AG291">
        <v>12.1</v>
      </c>
      <c r="AH291">
        <v>0</v>
      </c>
      <c r="AI291">
        <v>1</v>
      </c>
      <c r="AJ291">
        <v>10.210000000000001</v>
      </c>
      <c r="AK291">
        <v>20.88</v>
      </c>
      <c r="AL291">
        <v>1</v>
      </c>
      <c r="AN291">
        <v>0</v>
      </c>
      <c r="AO291">
        <v>1</v>
      </c>
      <c r="AP291">
        <v>1</v>
      </c>
      <c r="AQ291">
        <v>0</v>
      </c>
      <c r="AR291">
        <v>0</v>
      </c>
      <c r="AS291" t="s">
        <v>3</v>
      </c>
      <c r="AT291">
        <v>1.27</v>
      </c>
      <c r="AU291" t="s">
        <v>160</v>
      </c>
      <c r="AV291">
        <v>0</v>
      </c>
      <c r="AW291">
        <v>2</v>
      </c>
      <c r="AX291">
        <v>48372100</v>
      </c>
      <c r="AY291">
        <v>1</v>
      </c>
      <c r="AZ291">
        <v>0</v>
      </c>
      <c r="BA291">
        <v>292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>Y291*Source!I153</f>
        <v>0.56991249999999993</v>
      </c>
      <c r="CY291">
        <f>AB291</f>
        <v>327.64</v>
      </c>
      <c r="CZ291">
        <f>AF291</f>
        <v>32.090000000000003</v>
      </c>
      <c r="DA291">
        <f>AJ291</f>
        <v>10.210000000000001</v>
      </c>
      <c r="DB291">
        <v>0</v>
      </c>
    </row>
    <row r="292" spans="1:106">
      <c r="A292">
        <f>ROW(Source!A153)</f>
        <v>153</v>
      </c>
      <c r="B292">
        <v>48370320</v>
      </c>
      <c r="C292">
        <v>48372097</v>
      </c>
      <c r="D292">
        <v>37803001</v>
      </c>
      <c r="E292">
        <v>1</v>
      </c>
      <c r="F292">
        <v>1</v>
      </c>
      <c r="G292">
        <v>1</v>
      </c>
      <c r="H292">
        <v>2</v>
      </c>
      <c r="I292" t="s">
        <v>891</v>
      </c>
      <c r="J292" t="s">
        <v>892</v>
      </c>
      <c r="K292" t="s">
        <v>893</v>
      </c>
      <c r="L292">
        <v>1368</v>
      </c>
      <c r="N292">
        <v>1011</v>
      </c>
      <c r="O292" t="s">
        <v>516</v>
      </c>
      <c r="P292" t="s">
        <v>516</v>
      </c>
      <c r="Q292">
        <v>1</v>
      </c>
      <c r="W292">
        <v>0</v>
      </c>
      <c r="X292">
        <v>736086632</v>
      </c>
      <c r="Y292">
        <v>11.3375</v>
      </c>
      <c r="AA292">
        <v>0</v>
      </c>
      <c r="AB292">
        <v>3.13</v>
      </c>
      <c r="AC292">
        <v>0</v>
      </c>
      <c r="AD292">
        <v>0</v>
      </c>
      <c r="AE292">
        <v>0</v>
      </c>
      <c r="AF292">
        <v>0.66</v>
      </c>
      <c r="AG292">
        <v>0</v>
      </c>
      <c r="AH292">
        <v>0</v>
      </c>
      <c r="AI292">
        <v>1</v>
      </c>
      <c r="AJ292">
        <v>4.74</v>
      </c>
      <c r="AK292">
        <v>20.88</v>
      </c>
      <c r="AL292">
        <v>1</v>
      </c>
      <c r="AN292">
        <v>0</v>
      </c>
      <c r="AO292">
        <v>1</v>
      </c>
      <c r="AP292">
        <v>1</v>
      </c>
      <c r="AQ292">
        <v>0</v>
      </c>
      <c r="AR292">
        <v>0</v>
      </c>
      <c r="AS292" t="s">
        <v>3</v>
      </c>
      <c r="AT292">
        <v>9.07</v>
      </c>
      <c r="AU292" t="s">
        <v>160</v>
      </c>
      <c r="AV292">
        <v>0</v>
      </c>
      <c r="AW292">
        <v>2</v>
      </c>
      <c r="AX292">
        <v>48372101</v>
      </c>
      <c r="AY292">
        <v>1</v>
      </c>
      <c r="AZ292">
        <v>0</v>
      </c>
      <c r="BA292">
        <v>293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>Y292*Source!I153</f>
        <v>4.0701625000000003</v>
      </c>
      <c r="CY292">
        <f>AB292</f>
        <v>3.13</v>
      </c>
      <c r="CZ292">
        <f>AF292</f>
        <v>0.66</v>
      </c>
      <c r="DA292">
        <f>AJ292</f>
        <v>4.74</v>
      </c>
      <c r="DB292">
        <v>0</v>
      </c>
    </row>
    <row r="293" spans="1:106">
      <c r="A293">
        <f>ROW(Source!A153)</f>
        <v>153</v>
      </c>
      <c r="B293">
        <v>48370320</v>
      </c>
      <c r="C293">
        <v>48372097</v>
      </c>
      <c r="D293">
        <v>37768005</v>
      </c>
      <c r="E293">
        <v>1</v>
      </c>
      <c r="F293">
        <v>1</v>
      </c>
      <c r="G293">
        <v>1</v>
      </c>
      <c r="H293">
        <v>3</v>
      </c>
      <c r="I293" t="s">
        <v>894</v>
      </c>
      <c r="J293" t="s">
        <v>895</v>
      </c>
      <c r="K293" t="s">
        <v>896</v>
      </c>
      <c r="L293">
        <v>1339</v>
      </c>
      <c r="N293">
        <v>1007</v>
      </c>
      <c r="O293" t="s">
        <v>543</v>
      </c>
      <c r="P293" t="s">
        <v>543</v>
      </c>
      <c r="Q293">
        <v>1</v>
      </c>
      <c r="W293">
        <v>0</v>
      </c>
      <c r="X293">
        <v>1065076017</v>
      </c>
      <c r="Y293">
        <v>2.04</v>
      </c>
      <c r="AA293">
        <v>3653.36</v>
      </c>
      <c r="AB293">
        <v>0</v>
      </c>
      <c r="AC293">
        <v>0</v>
      </c>
      <c r="AD293">
        <v>0</v>
      </c>
      <c r="AE293">
        <v>472.01</v>
      </c>
      <c r="AF293">
        <v>0</v>
      </c>
      <c r="AG293">
        <v>0</v>
      </c>
      <c r="AH293">
        <v>0</v>
      </c>
      <c r="AI293">
        <v>7.74</v>
      </c>
      <c r="AJ293">
        <v>1</v>
      </c>
      <c r="AK293">
        <v>1</v>
      </c>
      <c r="AL293">
        <v>1</v>
      </c>
      <c r="AN293">
        <v>0</v>
      </c>
      <c r="AO293">
        <v>1</v>
      </c>
      <c r="AP293">
        <v>0</v>
      </c>
      <c r="AQ293">
        <v>0</v>
      </c>
      <c r="AR293">
        <v>0</v>
      </c>
      <c r="AS293" t="s">
        <v>3</v>
      </c>
      <c r="AT293">
        <v>2.04</v>
      </c>
      <c r="AU293" t="s">
        <v>3</v>
      </c>
      <c r="AV293">
        <v>0</v>
      </c>
      <c r="AW293">
        <v>2</v>
      </c>
      <c r="AX293">
        <v>48372102</v>
      </c>
      <c r="AY293">
        <v>1</v>
      </c>
      <c r="AZ293">
        <v>0</v>
      </c>
      <c r="BA293">
        <v>294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>Y293*Source!I153</f>
        <v>0.73236000000000001</v>
      </c>
      <c r="CY293">
        <f>AA293</f>
        <v>3653.36</v>
      </c>
      <c r="CZ293">
        <f>AE293</f>
        <v>472.01</v>
      </c>
      <c r="DA293">
        <f>AI293</f>
        <v>7.74</v>
      </c>
      <c r="DB293">
        <v>0</v>
      </c>
    </row>
    <row r="294" spans="1:106">
      <c r="A294">
        <f>ROW(Source!A153)</f>
        <v>153</v>
      </c>
      <c r="B294">
        <v>48370320</v>
      </c>
      <c r="C294">
        <v>48372097</v>
      </c>
      <c r="D294">
        <v>37777802</v>
      </c>
      <c r="E294">
        <v>1</v>
      </c>
      <c r="F294">
        <v>1</v>
      </c>
      <c r="G294">
        <v>1</v>
      </c>
      <c r="H294">
        <v>3</v>
      </c>
      <c r="I294" t="s">
        <v>616</v>
      </c>
      <c r="J294" t="s">
        <v>617</v>
      </c>
      <c r="K294" t="s">
        <v>618</v>
      </c>
      <c r="L294">
        <v>1339</v>
      </c>
      <c r="N294">
        <v>1007</v>
      </c>
      <c r="O294" t="s">
        <v>543</v>
      </c>
      <c r="P294" t="s">
        <v>543</v>
      </c>
      <c r="Q294">
        <v>1</v>
      </c>
      <c r="W294">
        <v>0</v>
      </c>
      <c r="X294">
        <v>-1418712732</v>
      </c>
      <c r="Y294">
        <v>3.5</v>
      </c>
      <c r="AA294">
        <v>45.55</v>
      </c>
      <c r="AB294">
        <v>0</v>
      </c>
      <c r="AC294">
        <v>0</v>
      </c>
      <c r="AD294">
        <v>0</v>
      </c>
      <c r="AE294">
        <v>2.4700000000000002</v>
      </c>
      <c r="AF294">
        <v>0</v>
      </c>
      <c r="AG294">
        <v>0</v>
      </c>
      <c r="AH294">
        <v>0</v>
      </c>
      <c r="AI294">
        <v>18.440000000000001</v>
      </c>
      <c r="AJ294">
        <v>1</v>
      </c>
      <c r="AK294">
        <v>1</v>
      </c>
      <c r="AL294">
        <v>1</v>
      </c>
      <c r="AN294">
        <v>0</v>
      </c>
      <c r="AO294">
        <v>1</v>
      </c>
      <c r="AP294">
        <v>0</v>
      </c>
      <c r="AQ294">
        <v>0</v>
      </c>
      <c r="AR294">
        <v>0</v>
      </c>
      <c r="AS294" t="s">
        <v>3</v>
      </c>
      <c r="AT294">
        <v>3.5</v>
      </c>
      <c r="AU294" t="s">
        <v>3</v>
      </c>
      <c r="AV294">
        <v>0</v>
      </c>
      <c r="AW294">
        <v>2</v>
      </c>
      <c r="AX294">
        <v>48372103</v>
      </c>
      <c r="AY294">
        <v>1</v>
      </c>
      <c r="AZ294">
        <v>0</v>
      </c>
      <c r="BA294">
        <v>295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>Y294*Source!I153</f>
        <v>1.2565</v>
      </c>
      <c r="CY294">
        <f>AA294</f>
        <v>45.55</v>
      </c>
      <c r="CZ294">
        <f>AE294</f>
        <v>2.4700000000000002</v>
      </c>
      <c r="DA294">
        <f>AI294</f>
        <v>18.440000000000001</v>
      </c>
      <c r="DB294">
        <v>0</v>
      </c>
    </row>
    <row r="295" spans="1:106">
      <c r="A295">
        <f>ROW(Source!A154)</f>
        <v>154</v>
      </c>
      <c r="B295">
        <v>48370320</v>
      </c>
      <c r="C295">
        <v>48372104</v>
      </c>
      <c r="D295">
        <v>23132590</v>
      </c>
      <c r="E295">
        <v>1</v>
      </c>
      <c r="F295">
        <v>1</v>
      </c>
      <c r="G295">
        <v>1</v>
      </c>
      <c r="H295">
        <v>1</v>
      </c>
      <c r="I295" t="s">
        <v>889</v>
      </c>
      <c r="J295" t="s">
        <v>3</v>
      </c>
      <c r="K295" t="s">
        <v>890</v>
      </c>
      <c r="L295">
        <v>1369</v>
      </c>
      <c r="N295">
        <v>1013</v>
      </c>
      <c r="O295" t="s">
        <v>510</v>
      </c>
      <c r="P295" t="s">
        <v>510</v>
      </c>
      <c r="Q295">
        <v>1</v>
      </c>
      <c r="W295">
        <v>0</v>
      </c>
      <c r="X295">
        <v>1935273774</v>
      </c>
      <c r="Y295">
        <v>2.2999999999999998</v>
      </c>
      <c r="AA295">
        <v>0</v>
      </c>
      <c r="AB295">
        <v>0</v>
      </c>
      <c r="AC295">
        <v>0</v>
      </c>
      <c r="AD295">
        <v>7.43</v>
      </c>
      <c r="AE295">
        <v>0</v>
      </c>
      <c r="AF295">
        <v>0</v>
      </c>
      <c r="AG295">
        <v>0</v>
      </c>
      <c r="AH295">
        <v>7.43</v>
      </c>
      <c r="AI295">
        <v>1</v>
      </c>
      <c r="AJ295">
        <v>1</v>
      </c>
      <c r="AK295">
        <v>1</v>
      </c>
      <c r="AL295">
        <v>1</v>
      </c>
      <c r="AN295">
        <v>0</v>
      </c>
      <c r="AO295">
        <v>1</v>
      </c>
      <c r="AP295">
        <v>1</v>
      </c>
      <c r="AQ295">
        <v>0</v>
      </c>
      <c r="AR295">
        <v>0</v>
      </c>
      <c r="AS295" t="s">
        <v>3</v>
      </c>
      <c r="AT295">
        <v>0.5</v>
      </c>
      <c r="AU295" t="s">
        <v>349</v>
      </c>
      <c r="AV295">
        <v>1</v>
      </c>
      <c r="AW295">
        <v>2</v>
      </c>
      <c r="AX295">
        <v>48372105</v>
      </c>
      <c r="AY295">
        <v>1</v>
      </c>
      <c r="AZ295">
        <v>0</v>
      </c>
      <c r="BA295">
        <v>296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CX295">
        <f>Y295*Source!I154</f>
        <v>0.82569999999999988</v>
      </c>
      <c r="CY295">
        <f>AD295</f>
        <v>7.43</v>
      </c>
      <c r="CZ295">
        <f>AH295</f>
        <v>7.43</v>
      </c>
      <c r="DA295">
        <f>AL295</f>
        <v>1</v>
      </c>
      <c r="DB295">
        <v>0</v>
      </c>
    </row>
    <row r="296" spans="1:106">
      <c r="A296">
        <f>ROW(Source!A154)</f>
        <v>154</v>
      </c>
      <c r="B296">
        <v>48370320</v>
      </c>
      <c r="C296">
        <v>48372104</v>
      </c>
      <c r="D296">
        <v>121548</v>
      </c>
      <c r="E296">
        <v>1</v>
      </c>
      <c r="F296">
        <v>1</v>
      </c>
      <c r="G296">
        <v>1</v>
      </c>
      <c r="H296">
        <v>1</v>
      </c>
      <c r="I296" t="s">
        <v>24</v>
      </c>
      <c r="J296" t="s">
        <v>3</v>
      </c>
      <c r="K296" t="s">
        <v>511</v>
      </c>
      <c r="L296">
        <v>608254</v>
      </c>
      <c r="N296">
        <v>1013</v>
      </c>
      <c r="O296" t="s">
        <v>512</v>
      </c>
      <c r="P296" t="s">
        <v>512</v>
      </c>
      <c r="Q296">
        <v>1</v>
      </c>
      <c r="W296">
        <v>0</v>
      </c>
      <c r="X296">
        <v>-185737400</v>
      </c>
      <c r="Y296">
        <v>1.05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1</v>
      </c>
      <c r="AJ296">
        <v>1</v>
      </c>
      <c r="AK296">
        <v>1</v>
      </c>
      <c r="AL296">
        <v>1</v>
      </c>
      <c r="AN296">
        <v>0</v>
      </c>
      <c r="AO296">
        <v>1</v>
      </c>
      <c r="AP296">
        <v>1</v>
      </c>
      <c r="AQ296">
        <v>0</v>
      </c>
      <c r="AR296">
        <v>0</v>
      </c>
      <c r="AS296" t="s">
        <v>3</v>
      </c>
      <c r="AT296">
        <v>0.21</v>
      </c>
      <c r="AU296" t="s">
        <v>348</v>
      </c>
      <c r="AV296">
        <v>2</v>
      </c>
      <c r="AW296">
        <v>2</v>
      </c>
      <c r="AX296">
        <v>48372106</v>
      </c>
      <c r="AY296">
        <v>1</v>
      </c>
      <c r="AZ296">
        <v>0</v>
      </c>
      <c r="BA296">
        <v>297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CX296">
        <f>Y296*Source!I154</f>
        <v>0.37695000000000001</v>
      </c>
      <c r="CY296">
        <f>AD296</f>
        <v>0</v>
      </c>
      <c r="CZ296">
        <f>AH296</f>
        <v>0</v>
      </c>
      <c r="DA296">
        <f>AL296</f>
        <v>1</v>
      </c>
      <c r="DB296">
        <v>0</v>
      </c>
    </row>
    <row r="297" spans="1:106">
      <c r="A297">
        <f>ROW(Source!A154)</f>
        <v>154</v>
      </c>
      <c r="B297">
        <v>48370320</v>
      </c>
      <c r="C297">
        <v>48372104</v>
      </c>
      <c r="D297">
        <v>37802578</v>
      </c>
      <c r="E297">
        <v>1</v>
      </c>
      <c r="F297">
        <v>1</v>
      </c>
      <c r="G297">
        <v>1</v>
      </c>
      <c r="H297">
        <v>2</v>
      </c>
      <c r="I297" t="s">
        <v>550</v>
      </c>
      <c r="J297" t="s">
        <v>551</v>
      </c>
      <c r="K297" t="s">
        <v>552</v>
      </c>
      <c r="L297">
        <v>1368</v>
      </c>
      <c r="N297">
        <v>1011</v>
      </c>
      <c r="O297" t="s">
        <v>516</v>
      </c>
      <c r="P297" t="s">
        <v>516</v>
      </c>
      <c r="Q297">
        <v>1</v>
      </c>
      <c r="W297">
        <v>0</v>
      </c>
      <c r="X297">
        <v>1753337916</v>
      </c>
      <c r="Y297">
        <v>1.05</v>
      </c>
      <c r="AA297">
        <v>0</v>
      </c>
      <c r="AB297">
        <v>327.64</v>
      </c>
      <c r="AC297">
        <v>252.65</v>
      </c>
      <c r="AD297">
        <v>0</v>
      </c>
      <c r="AE297">
        <v>0</v>
      </c>
      <c r="AF297">
        <v>32.090000000000003</v>
      </c>
      <c r="AG297">
        <v>12.1</v>
      </c>
      <c r="AH297">
        <v>0</v>
      </c>
      <c r="AI297">
        <v>1</v>
      </c>
      <c r="AJ297">
        <v>10.210000000000001</v>
      </c>
      <c r="AK297">
        <v>20.88</v>
      </c>
      <c r="AL297">
        <v>1</v>
      </c>
      <c r="AN297">
        <v>0</v>
      </c>
      <c r="AO297">
        <v>1</v>
      </c>
      <c r="AP297">
        <v>1</v>
      </c>
      <c r="AQ297">
        <v>0</v>
      </c>
      <c r="AR297">
        <v>0</v>
      </c>
      <c r="AS297" t="s">
        <v>3</v>
      </c>
      <c r="AT297">
        <v>0.21</v>
      </c>
      <c r="AU297" t="s">
        <v>348</v>
      </c>
      <c r="AV297">
        <v>0</v>
      </c>
      <c r="AW297">
        <v>2</v>
      </c>
      <c r="AX297">
        <v>48372107</v>
      </c>
      <c r="AY297">
        <v>1</v>
      </c>
      <c r="AZ297">
        <v>0</v>
      </c>
      <c r="BA297">
        <v>298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CX297">
        <f>Y297*Source!I154</f>
        <v>0.37695000000000001</v>
      </c>
      <c r="CY297">
        <f>AB297</f>
        <v>327.64</v>
      </c>
      <c r="CZ297">
        <f>AF297</f>
        <v>32.090000000000003</v>
      </c>
      <c r="DA297">
        <f>AJ297</f>
        <v>10.210000000000001</v>
      </c>
      <c r="DB297">
        <v>0</v>
      </c>
    </row>
    <row r="298" spans="1:106">
      <c r="A298">
        <f>ROW(Source!A154)</f>
        <v>154</v>
      </c>
      <c r="B298">
        <v>48370320</v>
      </c>
      <c r="C298">
        <v>48372104</v>
      </c>
      <c r="D298">
        <v>37803001</v>
      </c>
      <c r="E298">
        <v>1</v>
      </c>
      <c r="F298">
        <v>1</v>
      </c>
      <c r="G298">
        <v>1</v>
      </c>
      <c r="H298">
        <v>2</v>
      </c>
      <c r="I298" t="s">
        <v>891</v>
      </c>
      <c r="J298" t="s">
        <v>892</v>
      </c>
      <c r="K298" t="s">
        <v>893</v>
      </c>
      <c r="L298">
        <v>1368</v>
      </c>
      <c r="N298">
        <v>1011</v>
      </c>
      <c r="O298" t="s">
        <v>516</v>
      </c>
      <c r="P298" t="s">
        <v>516</v>
      </c>
      <c r="Q298">
        <v>1</v>
      </c>
      <c r="W298">
        <v>0</v>
      </c>
      <c r="X298">
        <v>736086632</v>
      </c>
      <c r="Y298">
        <v>11.6</v>
      </c>
      <c r="AA298">
        <v>0</v>
      </c>
      <c r="AB298">
        <v>3.13</v>
      </c>
      <c r="AC298">
        <v>0</v>
      </c>
      <c r="AD298">
        <v>0</v>
      </c>
      <c r="AE298">
        <v>0</v>
      </c>
      <c r="AF298">
        <v>0.66</v>
      </c>
      <c r="AG298">
        <v>0</v>
      </c>
      <c r="AH298">
        <v>0</v>
      </c>
      <c r="AI298">
        <v>1</v>
      </c>
      <c r="AJ298">
        <v>4.74</v>
      </c>
      <c r="AK298">
        <v>20.88</v>
      </c>
      <c r="AL298">
        <v>1</v>
      </c>
      <c r="AN298">
        <v>0</v>
      </c>
      <c r="AO298">
        <v>1</v>
      </c>
      <c r="AP298">
        <v>1</v>
      </c>
      <c r="AQ298">
        <v>0</v>
      </c>
      <c r="AR298">
        <v>0</v>
      </c>
      <c r="AS298" t="s">
        <v>3</v>
      </c>
      <c r="AT298">
        <v>2.3199999999999998</v>
      </c>
      <c r="AU298" t="s">
        <v>348</v>
      </c>
      <c r="AV298">
        <v>0</v>
      </c>
      <c r="AW298">
        <v>2</v>
      </c>
      <c r="AX298">
        <v>48372108</v>
      </c>
      <c r="AY298">
        <v>1</v>
      </c>
      <c r="AZ298">
        <v>0</v>
      </c>
      <c r="BA298">
        <v>299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CX298">
        <f>Y298*Source!I154</f>
        <v>4.1643999999999997</v>
      </c>
      <c r="CY298">
        <f>AB298</f>
        <v>3.13</v>
      </c>
      <c r="CZ298">
        <f>AF298</f>
        <v>0.66</v>
      </c>
      <c r="DA298">
        <f>AJ298</f>
        <v>4.74</v>
      </c>
      <c r="DB298">
        <v>0</v>
      </c>
    </row>
    <row r="299" spans="1:106">
      <c r="A299">
        <f>ROW(Source!A154)</f>
        <v>154</v>
      </c>
      <c r="B299">
        <v>48370320</v>
      </c>
      <c r="C299">
        <v>48372104</v>
      </c>
      <c r="D299">
        <v>37768005</v>
      </c>
      <c r="E299">
        <v>1</v>
      </c>
      <c r="F299">
        <v>1</v>
      </c>
      <c r="G299">
        <v>1</v>
      </c>
      <c r="H299">
        <v>3</v>
      </c>
      <c r="I299" t="s">
        <v>894</v>
      </c>
      <c r="J299" t="s">
        <v>895</v>
      </c>
      <c r="K299" t="s">
        <v>896</v>
      </c>
      <c r="L299">
        <v>1339</v>
      </c>
      <c r="N299">
        <v>1007</v>
      </c>
      <c r="O299" t="s">
        <v>543</v>
      </c>
      <c r="P299" t="s">
        <v>543</v>
      </c>
      <c r="Q299">
        <v>1</v>
      </c>
      <c r="W299">
        <v>0</v>
      </c>
      <c r="X299">
        <v>1065076017</v>
      </c>
      <c r="Y299">
        <v>2.04</v>
      </c>
      <c r="AA299">
        <v>3653.36</v>
      </c>
      <c r="AB299">
        <v>0</v>
      </c>
      <c r="AC299">
        <v>0</v>
      </c>
      <c r="AD299">
        <v>0</v>
      </c>
      <c r="AE299">
        <v>472.01</v>
      </c>
      <c r="AF299">
        <v>0</v>
      </c>
      <c r="AG299">
        <v>0</v>
      </c>
      <c r="AH299">
        <v>0</v>
      </c>
      <c r="AI299">
        <v>7.74</v>
      </c>
      <c r="AJ299">
        <v>1</v>
      </c>
      <c r="AK299">
        <v>1</v>
      </c>
      <c r="AL299">
        <v>1</v>
      </c>
      <c r="AN299">
        <v>0</v>
      </c>
      <c r="AO299">
        <v>1</v>
      </c>
      <c r="AP299">
        <v>1</v>
      </c>
      <c r="AQ299">
        <v>0</v>
      </c>
      <c r="AR299">
        <v>0</v>
      </c>
      <c r="AS299" t="s">
        <v>3</v>
      </c>
      <c r="AT299">
        <v>0.51</v>
      </c>
      <c r="AU299" t="s">
        <v>347</v>
      </c>
      <c r="AV299">
        <v>0</v>
      </c>
      <c r="AW299">
        <v>2</v>
      </c>
      <c r="AX299">
        <v>48372109</v>
      </c>
      <c r="AY299">
        <v>1</v>
      </c>
      <c r="AZ299">
        <v>0</v>
      </c>
      <c r="BA299">
        <v>300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CX299">
        <f>Y299*Source!I154</f>
        <v>0.73236000000000001</v>
      </c>
      <c r="CY299">
        <f>AA299</f>
        <v>3653.36</v>
      </c>
      <c r="CZ299">
        <f>AE299</f>
        <v>472.01</v>
      </c>
      <c r="DA299">
        <f>AI299</f>
        <v>7.74</v>
      </c>
      <c r="DB299">
        <v>0</v>
      </c>
    </row>
    <row r="300" spans="1:106">
      <c r="A300">
        <f>ROW(Source!A155)</f>
        <v>155</v>
      </c>
      <c r="B300">
        <v>48370320</v>
      </c>
      <c r="C300">
        <v>48372114</v>
      </c>
      <c r="D300">
        <v>23134955</v>
      </c>
      <c r="E300">
        <v>1</v>
      </c>
      <c r="F300">
        <v>1</v>
      </c>
      <c r="G300">
        <v>1</v>
      </c>
      <c r="H300">
        <v>1</v>
      </c>
      <c r="I300" t="s">
        <v>662</v>
      </c>
      <c r="J300" t="s">
        <v>3</v>
      </c>
      <c r="K300" t="s">
        <v>663</v>
      </c>
      <c r="L300">
        <v>1369</v>
      </c>
      <c r="N300">
        <v>1013</v>
      </c>
      <c r="O300" t="s">
        <v>510</v>
      </c>
      <c r="P300" t="s">
        <v>510</v>
      </c>
      <c r="Q300">
        <v>1</v>
      </c>
      <c r="W300">
        <v>0</v>
      </c>
      <c r="X300">
        <v>-1698459243</v>
      </c>
      <c r="Y300">
        <v>356.983</v>
      </c>
      <c r="AA300">
        <v>0</v>
      </c>
      <c r="AB300">
        <v>0</v>
      </c>
      <c r="AC300">
        <v>0</v>
      </c>
      <c r="AD300">
        <v>8.17</v>
      </c>
      <c r="AE300">
        <v>0</v>
      </c>
      <c r="AF300">
        <v>0</v>
      </c>
      <c r="AG300">
        <v>0</v>
      </c>
      <c r="AH300">
        <v>8.17</v>
      </c>
      <c r="AI300">
        <v>1</v>
      </c>
      <c r="AJ300">
        <v>1</v>
      </c>
      <c r="AK300">
        <v>1</v>
      </c>
      <c r="AL300">
        <v>1</v>
      </c>
      <c r="AN300">
        <v>0</v>
      </c>
      <c r="AO300">
        <v>1</v>
      </c>
      <c r="AP300">
        <v>1</v>
      </c>
      <c r="AQ300">
        <v>0</v>
      </c>
      <c r="AR300">
        <v>0</v>
      </c>
      <c r="AS300" t="s">
        <v>3</v>
      </c>
      <c r="AT300">
        <v>310.42</v>
      </c>
      <c r="AU300" t="s">
        <v>161</v>
      </c>
      <c r="AV300">
        <v>1</v>
      </c>
      <c r="AW300">
        <v>2</v>
      </c>
      <c r="AX300">
        <v>48372115</v>
      </c>
      <c r="AY300">
        <v>1</v>
      </c>
      <c r="AZ300">
        <v>0</v>
      </c>
      <c r="BA300">
        <v>301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CX300">
        <f>Y300*Source!I155</f>
        <v>128.15689699999999</v>
      </c>
      <c r="CY300">
        <f>AD300</f>
        <v>8.17</v>
      </c>
      <c r="CZ300">
        <f>AH300</f>
        <v>8.17</v>
      </c>
      <c r="DA300">
        <f>AL300</f>
        <v>1</v>
      </c>
      <c r="DB300">
        <v>0</v>
      </c>
    </row>
    <row r="301" spans="1:106">
      <c r="A301">
        <f>ROW(Source!A155)</f>
        <v>155</v>
      </c>
      <c r="B301">
        <v>48370320</v>
      </c>
      <c r="C301">
        <v>48372114</v>
      </c>
      <c r="D301">
        <v>121548</v>
      </c>
      <c r="E301">
        <v>1</v>
      </c>
      <c r="F301">
        <v>1</v>
      </c>
      <c r="G301">
        <v>1</v>
      </c>
      <c r="H301">
        <v>1</v>
      </c>
      <c r="I301" t="s">
        <v>24</v>
      </c>
      <c r="J301" t="s">
        <v>3</v>
      </c>
      <c r="K301" t="s">
        <v>511</v>
      </c>
      <c r="L301">
        <v>608254</v>
      </c>
      <c r="N301">
        <v>1013</v>
      </c>
      <c r="O301" t="s">
        <v>512</v>
      </c>
      <c r="P301" t="s">
        <v>512</v>
      </c>
      <c r="Q301">
        <v>1</v>
      </c>
      <c r="W301">
        <v>0</v>
      </c>
      <c r="X301">
        <v>-185737400</v>
      </c>
      <c r="Y301">
        <v>2.15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1</v>
      </c>
      <c r="AJ301">
        <v>1</v>
      </c>
      <c r="AK301">
        <v>1</v>
      </c>
      <c r="AL301">
        <v>1</v>
      </c>
      <c r="AN301">
        <v>0</v>
      </c>
      <c r="AO301">
        <v>1</v>
      </c>
      <c r="AP301">
        <v>1</v>
      </c>
      <c r="AQ301">
        <v>0</v>
      </c>
      <c r="AR301">
        <v>0</v>
      </c>
      <c r="AS301" t="s">
        <v>3</v>
      </c>
      <c r="AT301">
        <v>1.72</v>
      </c>
      <c r="AU301" t="s">
        <v>160</v>
      </c>
      <c r="AV301">
        <v>2</v>
      </c>
      <c r="AW301">
        <v>2</v>
      </c>
      <c r="AX301">
        <v>48372116</v>
      </c>
      <c r="AY301">
        <v>1</v>
      </c>
      <c r="AZ301">
        <v>0</v>
      </c>
      <c r="BA301">
        <v>302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CX301">
        <f>Y301*Source!I155</f>
        <v>0.77184999999999993</v>
      </c>
      <c r="CY301">
        <f>AD301</f>
        <v>0</v>
      </c>
      <c r="CZ301">
        <f>AH301</f>
        <v>0</v>
      </c>
      <c r="DA301">
        <f>AL301</f>
        <v>1</v>
      </c>
      <c r="DB301">
        <v>0</v>
      </c>
    </row>
    <row r="302" spans="1:106">
      <c r="A302">
        <f>ROW(Source!A155)</f>
        <v>155</v>
      </c>
      <c r="B302">
        <v>48370320</v>
      </c>
      <c r="C302">
        <v>48372114</v>
      </c>
      <c r="D302">
        <v>37802358</v>
      </c>
      <c r="E302">
        <v>1</v>
      </c>
      <c r="F302">
        <v>1</v>
      </c>
      <c r="G302">
        <v>1</v>
      </c>
      <c r="H302">
        <v>2</v>
      </c>
      <c r="I302" t="s">
        <v>664</v>
      </c>
      <c r="J302" t="s">
        <v>665</v>
      </c>
      <c r="K302" t="s">
        <v>666</v>
      </c>
      <c r="L302">
        <v>1368</v>
      </c>
      <c r="N302">
        <v>1011</v>
      </c>
      <c r="O302" t="s">
        <v>516</v>
      </c>
      <c r="P302" t="s">
        <v>516</v>
      </c>
      <c r="Q302">
        <v>1</v>
      </c>
      <c r="W302">
        <v>0</v>
      </c>
      <c r="X302">
        <v>-1039981432</v>
      </c>
      <c r="Y302">
        <v>2.5000000000000001E-2</v>
      </c>
      <c r="AA302">
        <v>0</v>
      </c>
      <c r="AB302">
        <v>553.82000000000005</v>
      </c>
      <c r="AC302">
        <v>252.65</v>
      </c>
      <c r="AD302">
        <v>0</v>
      </c>
      <c r="AE302">
        <v>0</v>
      </c>
      <c r="AF302">
        <v>100.33</v>
      </c>
      <c r="AG302">
        <v>12.1</v>
      </c>
      <c r="AH302">
        <v>0</v>
      </c>
      <c r="AI302">
        <v>1</v>
      </c>
      <c r="AJ302">
        <v>5.52</v>
      </c>
      <c r="AK302">
        <v>20.88</v>
      </c>
      <c r="AL302">
        <v>1</v>
      </c>
      <c r="AN302">
        <v>0</v>
      </c>
      <c r="AO302">
        <v>1</v>
      </c>
      <c r="AP302">
        <v>1</v>
      </c>
      <c r="AQ302">
        <v>0</v>
      </c>
      <c r="AR302">
        <v>0</v>
      </c>
      <c r="AS302" t="s">
        <v>3</v>
      </c>
      <c r="AT302">
        <v>0.02</v>
      </c>
      <c r="AU302" t="s">
        <v>160</v>
      </c>
      <c r="AV302">
        <v>0</v>
      </c>
      <c r="AW302">
        <v>2</v>
      </c>
      <c r="AX302">
        <v>48372117</v>
      </c>
      <c r="AY302">
        <v>1</v>
      </c>
      <c r="AZ302">
        <v>0</v>
      </c>
      <c r="BA302">
        <v>303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CX302">
        <f>Y302*Source!I155</f>
        <v>8.9750000000000003E-3</v>
      </c>
      <c r="CY302">
        <f>AB302</f>
        <v>553.82000000000005</v>
      </c>
      <c r="CZ302">
        <f>AF302</f>
        <v>100.33</v>
      </c>
      <c r="DA302">
        <f>AJ302</f>
        <v>5.52</v>
      </c>
      <c r="DB302">
        <v>0</v>
      </c>
    </row>
    <row r="303" spans="1:106">
      <c r="A303">
        <f>ROW(Source!A155)</f>
        <v>155</v>
      </c>
      <c r="B303">
        <v>48370320</v>
      </c>
      <c r="C303">
        <v>48372114</v>
      </c>
      <c r="D303">
        <v>37802442</v>
      </c>
      <c r="E303">
        <v>1</v>
      </c>
      <c r="F303">
        <v>1</v>
      </c>
      <c r="G303">
        <v>1</v>
      </c>
      <c r="H303">
        <v>2</v>
      </c>
      <c r="I303" t="s">
        <v>667</v>
      </c>
      <c r="J303" t="s">
        <v>668</v>
      </c>
      <c r="K303" t="s">
        <v>669</v>
      </c>
      <c r="L303">
        <v>1368</v>
      </c>
      <c r="N303">
        <v>1011</v>
      </c>
      <c r="O303" t="s">
        <v>516</v>
      </c>
      <c r="P303" t="s">
        <v>516</v>
      </c>
      <c r="Q303">
        <v>1</v>
      </c>
      <c r="W303">
        <v>0</v>
      </c>
      <c r="X303">
        <v>70398099</v>
      </c>
      <c r="Y303">
        <v>1.2500000000000001E-2</v>
      </c>
      <c r="AA303">
        <v>0</v>
      </c>
      <c r="AB303">
        <v>773.83</v>
      </c>
      <c r="AC303">
        <v>216.11</v>
      </c>
      <c r="AD303">
        <v>0</v>
      </c>
      <c r="AE303">
        <v>0</v>
      </c>
      <c r="AF303">
        <v>104.01</v>
      </c>
      <c r="AG303">
        <v>10.35</v>
      </c>
      <c r="AH303">
        <v>0</v>
      </c>
      <c r="AI303">
        <v>1</v>
      </c>
      <c r="AJ303">
        <v>7.44</v>
      </c>
      <c r="AK303">
        <v>20.88</v>
      </c>
      <c r="AL303">
        <v>1</v>
      </c>
      <c r="AN303">
        <v>0</v>
      </c>
      <c r="AO303">
        <v>1</v>
      </c>
      <c r="AP303">
        <v>1</v>
      </c>
      <c r="AQ303">
        <v>0</v>
      </c>
      <c r="AR303">
        <v>0</v>
      </c>
      <c r="AS303" t="s">
        <v>3</v>
      </c>
      <c r="AT303">
        <v>0.01</v>
      </c>
      <c r="AU303" t="s">
        <v>160</v>
      </c>
      <c r="AV303">
        <v>0</v>
      </c>
      <c r="AW303">
        <v>2</v>
      </c>
      <c r="AX303">
        <v>48372118</v>
      </c>
      <c r="AY303">
        <v>1</v>
      </c>
      <c r="AZ303">
        <v>0</v>
      </c>
      <c r="BA303">
        <v>304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CX303">
        <f>Y303*Source!I155</f>
        <v>4.4875000000000002E-3</v>
      </c>
      <c r="CY303">
        <f>AB303</f>
        <v>773.83</v>
      </c>
      <c r="CZ303">
        <f>AF303</f>
        <v>104.01</v>
      </c>
      <c r="DA303">
        <f>AJ303</f>
        <v>7.44</v>
      </c>
      <c r="DB303">
        <v>0</v>
      </c>
    </row>
    <row r="304" spans="1:106">
      <c r="A304">
        <f>ROW(Source!A155)</f>
        <v>155</v>
      </c>
      <c r="B304">
        <v>48370320</v>
      </c>
      <c r="C304">
        <v>48372114</v>
      </c>
      <c r="D304">
        <v>37802992</v>
      </c>
      <c r="E304">
        <v>1</v>
      </c>
      <c r="F304">
        <v>1</v>
      </c>
      <c r="G304">
        <v>1</v>
      </c>
      <c r="H304">
        <v>2</v>
      </c>
      <c r="I304" t="s">
        <v>653</v>
      </c>
      <c r="J304" t="s">
        <v>654</v>
      </c>
      <c r="K304" t="s">
        <v>655</v>
      </c>
      <c r="L304">
        <v>1368</v>
      </c>
      <c r="N304">
        <v>1011</v>
      </c>
      <c r="O304" t="s">
        <v>516</v>
      </c>
      <c r="P304" t="s">
        <v>516</v>
      </c>
      <c r="Q304">
        <v>1</v>
      </c>
      <c r="W304">
        <v>0</v>
      </c>
      <c r="X304">
        <v>1801551115</v>
      </c>
      <c r="Y304">
        <v>2.1124999999999998</v>
      </c>
      <c r="AA304">
        <v>0</v>
      </c>
      <c r="AB304">
        <v>207.72</v>
      </c>
      <c r="AC304">
        <v>187.92</v>
      </c>
      <c r="AD304">
        <v>0</v>
      </c>
      <c r="AE304">
        <v>0</v>
      </c>
      <c r="AF304">
        <v>11.32</v>
      </c>
      <c r="AG304">
        <v>9</v>
      </c>
      <c r="AH304">
        <v>0</v>
      </c>
      <c r="AI304">
        <v>1</v>
      </c>
      <c r="AJ304">
        <v>18.350000000000001</v>
      </c>
      <c r="AK304">
        <v>20.88</v>
      </c>
      <c r="AL304">
        <v>1</v>
      </c>
      <c r="AN304">
        <v>0</v>
      </c>
      <c r="AO304">
        <v>1</v>
      </c>
      <c r="AP304">
        <v>1</v>
      </c>
      <c r="AQ304">
        <v>0</v>
      </c>
      <c r="AR304">
        <v>0</v>
      </c>
      <c r="AS304" t="s">
        <v>3</v>
      </c>
      <c r="AT304">
        <v>1.69</v>
      </c>
      <c r="AU304" t="s">
        <v>160</v>
      </c>
      <c r="AV304">
        <v>0</v>
      </c>
      <c r="AW304">
        <v>2</v>
      </c>
      <c r="AX304">
        <v>48372119</v>
      </c>
      <c r="AY304">
        <v>1</v>
      </c>
      <c r="AZ304">
        <v>0</v>
      </c>
      <c r="BA304">
        <v>305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CX304">
        <f>Y304*Source!I155</f>
        <v>0.75838749999999988</v>
      </c>
      <c r="CY304">
        <f>AB304</f>
        <v>207.72</v>
      </c>
      <c r="CZ304">
        <f>AF304</f>
        <v>11.32</v>
      </c>
      <c r="DA304">
        <f>AJ304</f>
        <v>18.350000000000001</v>
      </c>
      <c r="DB304">
        <v>0</v>
      </c>
    </row>
    <row r="305" spans="1:106">
      <c r="A305">
        <f>ROW(Source!A155)</f>
        <v>155</v>
      </c>
      <c r="B305">
        <v>48370320</v>
      </c>
      <c r="C305">
        <v>48372114</v>
      </c>
      <c r="D305">
        <v>37804194</v>
      </c>
      <c r="E305">
        <v>1</v>
      </c>
      <c r="F305">
        <v>1</v>
      </c>
      <c r="G305">
        <v>1</v>
      </c>
      <c r="H305">
        <v>2</v>
      </c>
      <c r="I305" t="s">
        <v>670</v>
      </c>
      <c r="J305" t="s">
        <v>671</v>
      </c>
      <c r="K305" t="s">
        <v>672</v>
      </c>
      <c r="L305">
        <v>1368</v>
      </c>
      <c r="N305">
        <v>1011</v>
      </c>
      <c r="O305" t="s">
        <v>516</v>
      </c>
      <c r="P305" t="s">
        <v>516</v>
      </c>
      <c r="Q305">
        <v>1</v>
      </c>
      <c r="W305">
        <v>0</v>
      </c>
      <c r="X305">
        <v>1254034396</v>
      </c>
      <c r="Y305">
        <v>6.25E-2</v>
      </c>
      <c r="AA305">
        <v>0</v>
      </c>
      <c r="AB305">
        <v>29.42</v>
      </c>
      <c r="AC305">
        <v>0</v>
      </c>
      <c r="AD305">
        <v>0</v>
      </c>
      <c r="AE305">
        <v>0</v>
      </c>
      <c r="AF305">
        <v>11.02</v>
      </c>
      <c r="AG305">
        <v>0</v>
      </c>
      <c r="AH305">
        <v>0</v>
      </c>
      <c r="AI305">
        <v>1</v>
      </c>
      <c r="AJ305">
        <v>2.67</v>
      </c>
      <c r="AK305">
        <v>20.88</v>
      </c>
      <c r="AL305">
        <v>1</v>
      </c>
      <c r="AN305">
        <v>0</v>
      </c>
      <c r="AO305">
        <v>1</v>
      </c>
      <c r="AP305">
        <v>1</v>
      </c>
      <c r="AQ305">
        <v>0</v>
      </c>
      <c r="AR305">
        <v>0</v>
      </c>
      <c r="AS305" t="s">
        <v>3</v>
      </c>
      <c r="AT305">
        <v>0.05</v>
      </c>
      <c r="AU305" t="s">
        <v>160</v>
      </c>
      <c r="AV305">
        <v>0</v>
      </c>
      <c r="AW305">
        <v>2</v>
      </c>
      <c r="AX305">
        <v>48372120</v>
      </c>
      <c r="AY305">
        <v>1</v>
      </c>
      <c r="AZ305">
        <v>0</v>
      </c>
      <c r="BA305">
        <v>306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CX305">
        <f>Y305*Source!I155</f>
        <v>2.2437499999999999E-2</v>
      </c>
      <c r="CY305">
        <f>AB305</f>
        <v>29.42</v>
      </c>
      <c r="CZ305">
        <f>AF305</f>
        <v>11.02</v>
      </c>
      <c r="DA305">
        <f>AJ305</f>
        <v>2.67</v>
      </c>
      <c r="DB305">
        <v>0</v>
      </c>
    </row>
    <row r="306" spans="1:106">
      <c r="A306">
        <f>ROW(Source!A155)</f>
        <v>155</v>
      </c>
      <c r="B306">
        <v>48370320</v>
      </c>
      <c r="C306">
        <v>48372114</v>
      </c>
      <c r="D306">
        <v>37804456</v>
      </c>
      <c r="E306">
        <v>1</v>
      </c>
      <c r="F306">
        <v>1</v>
      </c>
      <c r="G306">
        <v>1</v>
      </c>
      <c r="H306">
        <v>2</v>
      </c>
      <c r="I306" t="s">
        <v>530</v>
      </c>
      <c r="J306" t="s">
        <v>531</v>
      </c>
      <c r="K306" t="s">
        <v>532</v>
      </c>
      <c r="L306">
        <v>1368</v>
      </c>
      <c r="N306">
        <v>1011</v>
      </c>
      <c r="O306" t="s">
        <v>516</v>
      </c>
      <c r="P306" t="s">
        <v>516</v>
      </c>
      <c r="Q306">
        <v>1</v>
      </c>
      <c r="W306">
        <v>0</v>
      </c>
      <c r="X306">
        <v>-671646184</v>
      </c>
      <c r="Y306">
        <v>1.2500000000000001E-2</v>
      </c>
      <c r="AA306">
        <v>0</v>
      </c>
      <c r="AB306">
        <v>844.19</v>
      </c>
      <c r="AC306">
        <v>216.11</v>
      </c>
      <c r="AD306">
        <v>0</v>
      </c>
      <c r="AE306">
        <v>0</v>
      </c>
      <c r="AF306">
        <v>91.76</v>
      </c>
      <c r="AG306">
        <v>10.35</v>
      </c>
      <c r="AH306">
        <v>0</v>
      </c>
      <c r="AI306">
        <v>1</v>
      </c>
      <c r="AJ306">
        <v>9.1999999999999993</v>
      </c>
      <c r="AK306">
        <v>20.88</v>
      </c>
      <c r="AL306">
        <v>1</v>
      </c>
      <c r="AN306">
        <v>0</v>
      </c>
      <c r="AO306">
        <v>1</v>
      </c>
      <c r="AP306">
        <v>1</v>
      </c>
      <c r="AQ306">
        <v>0</v>
      </c>
      <c r="AR306">
        <v>0</v>
      </c>
      <c r="AS306" t="s">
        <v>3</v>
      </c>
      <c r="AT306">
        <v>0.01</v>
      </c>
      <c r="AU306" t="s">
        <v>160</v>
      </c>
      <c r="AV306">
        <v>0</v>
      </c>
      <c r="AW306">
        <v>2</v>
      </c>
      <c r="AX306">
        <v>48372121</v>
      </c>
      <c r="AY306">
        <v>1</v>
      </c>
      <c r="AZ306">
        <v>0</v>
      </c>
      <c r="BA306">
        <v>307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CX306">
        <f>Y306*Source!I155</f>
        <v>4.4875000000000002E-3</v>
      </c>
      <c r="CY306">
        <f>AB306</f>
        <v>844.19</v>
      </c>
      <c r="CZ306">
        <f>AF306</f>
        <v>91.76</v>
      </c>
      <c r="DA306">
        <f>AJ306</f>
        <v>9.1999999999999993</v>
      </c>
      <c r="DB306">
        <v>0</v>
      </c>
    </row>
    <row r="307" spans="1:106">
      <c r="A307">
        <f>ROW(Source!A155)</f>
        <v>155</v>
      </c>
      <c r="B307">
        <v>48370320</v>
      </c>
      <c r="C307">
        <v>48372114</v>
      </c>
      <c r="D307">
        <v>37730034</v>
      </c>
      <c r="E307">
        <v>1</v>
      </c>
      <c r="F307">
        <v>1</v>
      </c>
      <c r="G307">
        <v>1</v>
      </c>
      <c r="H307">
        <v>3</v>
      </c>
      <c r="I307" t="s">
        <v>673</v>
      </c>
      <c r="J307" t="s">
        <v>674</v>
      </c>
      <c r="K307" t="s">
        <v>675</v>
      </c>
      <c r="L307">
        <v>1348</v>
      </c>
      <c r="N307">
        <v>1009</v>
      </c>
      <c r="O307" t="s">
        <v>536</v>
      </c>
      <c r="P307" t="s">
        <v>536</v>
      </c>
      <c r="Q307">
        <v>1000</v>
      </c>
      <c r="W307">
        <v>0</v>
      </c>
      <c r="X307">
        <v>2142030353</v>
      </c>
      <c r="Y307">
        <v>1.2999999999999999E-2</v>
      </c>
      <c r="AA307">
        <v>55662.01</v>
      </c>
      <c r="AB307">
        <v>0</v>
      </c>
      <c r="AC307">
        <v>0</v>
      </c>
      <c r="AD307">
        <v>0</v>
      </c>
      <c r="AE307">
        <v>6610.69</v>
      </c>
      <c r="AF307">
        <v>0</v>
      </c>
      <c r="AG307">
        <v>0</v>
      </c>
      <c r="AH307">
        <v>0</v>
      </c>
      <c r="AI307">
        <v>8.42</v>
      </c>
      <c r="AJ307">
        <v>1</v>
      </c>
      <c r="AK307">
        <v>1</v>
      </c>
      <c r="AL307">
        <v>1</v>
      </c>
      <c r="AN307">
        <v>0</v>
      </c>
      <c r="AO307">
        <v>1</v>
      </c>
      <c r="AP307">
        <v>0</v>
      </c>
      <c r="AQ307">
        <v>0</v>
      </c>
      <c r="AR307">
        <v>0</v>
      </c>
      <c r="AS307" t="s">
        <v>3</v>
      </c>
      <c r="AT307">
        <v>1.2999999999999999E-2</v>
      </c>
      <c r="AU307" t="s">
        <v>3</v>
      </c>
      <c r="AV307">
        <v>0</v>
      </c>
      <c r="AW307">
        <v>2</v>
      </c>
      <c r="AX307">
        <v>48372122</v>
      </c>
      <c r="AY307">
        <v>1</v>
      </c>
      <c r="AZ307">
        <v>0</v>
      </c>
      <c r="BA307">
        <v>308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CX307">
        <f>Y307*Source!I155</f>
        <v>4.6669999999999993E-3</v>
      </c>
      <c r="CY307">
        <f t="shared" ref="CY307:CY312" si="21">AA307</f>
        <v>55662.01</v>
      </c>
      <c r="CZ307">
        <f t="shared" ref="CZ307:CZ312" si="22">AE307</f>
        <v>6610.69</v>
      </c>
      <c r="DA307">
        <f t="shared" ref="DA307:DA312" si="23">AI307</f>
        <v>8.42</v>
      </c>
      <c r="DB307">
        <v>0</v>
      </c>
    </row>
    <row r="308" spans="1:106">
      <c r="A308">
        <f>ROW(Source!A155)</f>
        <v>155</v>
      </c>
      <c r="B308">
        <v>48370320</v>
      </c>
      <c r="C308">
        <v>48372114</v>
      </c>
      <c r="D308">
        <v>37731608</v>
      </c>
      <c r="E308">
        <v>1</v>
      </c>
      <c r="F308">
        <v>1</v>
      </c>
      <c r="G308">
        <v>1</v>
      </c>
      <c r="H308">
        <v>3</v>
      </c>
      <c r="I308" t="s">
        <v>676</v>
      </c>
      <c r="J308" t="s">
        <v>677</v>
      </c>
      <c r="K308" t="s">
        <v>678</v>
      </c>
      <c r="L308">
        <v>1346</v>
      </c>
      <c r="N308">
        <v>1009</v>
      </c>
      <c r="O308" t="s">
        <v>172</v>
      </c>
      <c r="P308" t="s">
        <v>172</v>
      </c>
      <c r="Q308">
        <v>1</v>
      </c>
      <c r="W308">
        <v>0</v>
      </c>
      <c r="X308">
        <v>1860514140</v>
      </c>
      <c r="Y308">
        <v>1200</v>
      </c>
      <c r="AA308">
        <v>15.6</v>
      </c>
      <c r="AB308">
        <v>0</v>
      </c>
      <c r="AC308">
        <v>0</v>
      </c>
      <c r="AD308">
        <v>0</v>
      </c>
      <c r="AE308">
        <v>3.74</v>
      </c>
      <c r="AF308">
        <v>0</v>
      </c>
      <c r="AG308">
        <v>0</v>
      </c>
      <c r="AH308">
        <v>0</v>
      </c>
      <c r="AI308">
        <v>4.17</v>
      </c>
      <c r="AJ308">
        <v>1</v>
      </c>
      <c r="AK308">
        <v>1</v>
      </c>
      <c r="AL308">
        <v>1</v>
      </c>
      <c r="AN308">
        <v>0</v>
      </c>
      <c r="AO308">
        <v>1</v>
      </c>
      <c r="AP308">
        <v>0</v>
      </c>
      <c r="AQ308">
        <v>0</v>
      </c>
      <c r="AR308">
        <v>0</v>
      </c>
      <c r="AS308" t="s">
        <v>3</v>
      </c>
      <c r="AT308">
        <v>1200</v>
      </c>
      <c r="AU308" t="s">
        <v>3</v>
      </c>
      <c r="AV308">
        <v>0</v>
      </c>
      <c r="AW308">
        <v>2</v>
      </c>
      <c r="AX308">
        <v>48372123</v>
      </c>
      <c r="AY308">
        <v>1</v>
      </c>
      <c r="AZ308">
        <v>0</v>
      </c>
      <c r="BA308">
        <v>309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CX308">
        <f>Y308*Source!I155</f>
        <v>430.79999999999995</v>
      </c>
      <c r="CY308">
        <f t="shared" si="21"/>
        <v>15.6</v>
      </c>
      <c r="CZ308">
        <f t="shared" si="22"/>
        <v>3.74</v>
      </c>
      <c r="DA308">
        <f t="shared" si="23"/>
        <v>4.17</v>
      </c>
      <c r="DB308">
        <v>0</v>
      </c>
    </row>
    <row r="309" spans="1:106">
      <c r="A309">
        <f>ROW(Source!A155)</f>
        <v>155</v>
      </c>
      <c r="B309">
        <v>48370320</v>
      </c>
      <c r="C309">
        <v>48372114</v>
      </c>
      <c r="D309">
        <v>37731963</v>
      </c>
      <c r="E309">
        <v>1</v>
      </c>
      <c r="F309">
        <v>1</v>
      </c>
      <c r="G309">
        <v>1</v>
      </c>
      <c r="H309">
        <v>3</v>
      </c>
      <c r="I309" t="s">
        <v>679</v>
      </c>
      <c r="J309" t="s">
        <v>680</v>
      </c>
      <c r="K309" t="s">
        <v>681</v>
      </c>
      <c r="L309">
        <v>1327</v>
      </c>
      <c r="N309">
        <v>1005</v>
      </c>
      <c r="O309" t="s">
        <v>189</v>
      </c>
      <c r="P309" t="s">
        <v>189</v>
      </c>
      <c r="Q309">
        <v>1</v>
      </c>
      <c r="W309">
        <v>0</v>
      </c>
      <c r="X309">
        <v>-2127610453</v>
      </c>
      <c r="Y309">
        <v>102</v>
      </c>
      <c r="AA309">
        <v>413.45</v>
      </c>
      <c r="AB309">
        <v>0</v>
      </c>
      <c r="AC309">
        <v>0</v>
      </c>
      <c r="AD309">
        <v>0</v>
      </c>
      <c r="AE309">
        <v>142.57</v>
      </c>
      <c r="AF309">
        <v>0</v>
      </c>
      <c r="AG309">
        <v>0</v>
      </c>
      <c r="AH309">
        <v>0</v>
      </c>
      <c r="AI309">
        <v>2.9</v>
      </c>
      <c r="AJ309">
        <v>1</v>
      </c>
      <c r="AK309">
        <v>1</v>
      </c>
      <c r="AL309">
        <v>1</v>
      </c>
      <c r="AN309">
        <v>0</v>
      </c>
      <c r="AO309">
        <v>1</v>
      </c>
      <c r="AP309">
        <v>0</v>
      </c>
      <c r="AQ309">
        <v>0</v>
      </c>
      <c r="AR309">
        <v>0</v>
      </c>
      <c r="AS309" t="s">
        <v>3</v>
      </c>
      <c r="AT309">
        <v>102</v>
      </c>
      <c r="AU309" t="s">
        <v>3</v>
      </c>
      <c r="AV309">
        <v>0</v>
      </c>
      <c r="AW309">
        <v>2</v>
      </c>
      <c r="AX309">
        <v>48372124</v>
      </c>
      <c r="AY309">
        <v>1</v>
      </c>
      <c r="AZ309">
        <v>0</v>
      </c>
      <c r="BA309">
        <v>310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CX309">
        <f>Y309*Source!I155</f>
        <v>36.617999999999995</v>
      </c>
      <c r="CY309">
        <f t="shared" si="21"/>
        <v>413.45</v>
      </c>
      <c r="CZ309">
        <f t="shared" si="22"/>
        <v>142.57</v>
      </c>
      <c r="DA309">
        <f t="shared" si="23"/>
        <v>2.9</v>
      </c>
      <c r="DB309">
        <v>0</v>
      </c>
    </row>
    <row r="310" spans="1:106">
      <c r="A310">
        <f>ROW(Source!A155)</f>
        <v>155</v>
      </c>
      <c r="B310">
        <v>48370320</v>
      </c>
      <c r="C310">
        <v>48372114</v>
      </c>
      <c r="D310">
        <v>37731442</v>
      </c>
      <c r="E310">
        <v>1</v>
      </c>
      <c r="F310">
        <v>1</v>
      </c>
      <c r="G310">
        <v>1</v>
      </c>
      <c r="H310">
        <v>3</v>
      </c>
      <c r="I310" t="s">
        <v>628</v>
      </c>
      <c r="J310" t="s">
        <v>629</v>
      </c>
      <c r="K310" t="s">
        <v>630</v>
      </c>
      <c r="L310">
        <v>1348</v>
      </c>
      <c r="N310">
        <v>1009</v>
      </c>
      <c r="O310" t="s">
        <v>536</v>
      </c>
      <c r="P310" t="s">
        <v>536</v>
      </c>
      <c r="Q310">
        <v>1000</v>
      </c>
      <c r="W310">
        <v>0</v>
      </c>
      <c r="X310">
        <v>-33111211</v>
      </c>
      <c r="Y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1</v>
      </c>
      <c r="AJ310">
        <v>1</v>
      </c>
      <c r="AK310">
        <v>1</v>
      </c>
      <c r="AL310">
        <v>1</v>
      </c>
      <c r="AN310">
        <v>1</v>
      </c>
      <c r="AO310">
        <v>0</v>
      </c>
      <c r="AP310">
        <v>0</v>
      </c>
      <c r="AQ310">
        <v>0</v>
      </c>
      <c r="AR310">
        <v>0</v>
      </c>
      <c r="AS310" t="s">
        <v>3</v>
      </c>
      <c r="AT310">
        <v>0</v>
      </c>
      <c r="AU310" t="s">
        <v>3</v>
      </c>
      <c r="AV310">
        <v>0</v>
      </c>
      <c r="AW310">
        <v>2</v>
      </c>
      <c r="AX310">
        <v>48372125</v>
      </c>
      <c r="AY310">
        <v>1</v>
      </c>
      <c r="AZ310">
        <v>0</v>
      </c>
      <c r="BA310">
        <v>311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CX310">
        <f>Y310*Source!I155</f>
        <v>0</v>
      </c>
      <c r="CY310">
        <f t="shared" si="21"/>
        <v>0</v>
      </c>
      <c r="CZ310">
        <f t="shared" si="22"/>
        <v>0</v>
      </c>
      <c r="DA310">
        <f t="shared" si="23"/>
        <v>1</v>
      </c>
      <c r="DB310">
        <v>0</v>
      </c>
    </row>
    <row r="311" spans="1:106">
      <c r="A311">
        <f>ROW(Source!A155)</f>
        <v>155</v>
      </c>
      <c r="B311">
        <v>48370320</v>
      </c>
      <c r="C311">
        <v>48372114</v>
      </c>
      <c r="D311">
        <v>37753185</v>
      </c>
      <c r="E311">
        <v>1</v>
      </c>
      <c r="F311">
        <v>1</v>
      </c>
      <c r="G311">
        <v>1</v>
      </c>
      <c r="H311">
        <v>3</v>
      </c>
      <c r="I311" t="s">
        <v>682</v>
      </c>
      <c r="J311" t="s">
        <v>683</v>
      </c>
      <c r="K311" t="s">
        <v>684</v>
      </c>
      <c r="L311">
        <v>1339</v>
      </c>
      <c r="N311">
        <v>1007</v>
      </c>
      <c r="O311" t="s">
        <v>543</v>
      </c>
      <c r="P311" t="s">
        <v>543</v>
      </c>
      <c r="Q311">
        <v>1</v>
      </c>
      <c r="W311">
        <v>0</v>
      </c>
      <c r="X311">
        <v>-2146135986</v>
      </c>
      <c r="Y311">
        <v>0.01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1</v>
      </c>
      <c r="AJ311">
        <v>1</v>
      </c>
      <c r="AK311">
        <v>1</v>
      </c>
      <c r="AL311">
        <v>1</v>
      </c>
      <c r="AN311">
        <v>0</v>
      </c>
      <c r="AO311">
        <v>0</v>
      </c>
      <c r="AP311">
        <v>0</v>
      </c>
      <c r="AQ311">
        <v>0</v>
      </c>
      <c r="AR311">
        <v>0</v>
      </c>
      <c r="AS311" t="s">
        <v>3</v>
      </c>
      <c r="AT311">
        <v>0.01</v>
      </c>
      <c r="AU311" t="s">
        <v>3</v>
      </c>
      <c r="AV311">
        <v>0</v>
      </c>
      <c r="AW311">
        <v>2</v>
      </c>
      <c r="AX311">
        <v>48372126</v>
      </c>
      <c r="AY311">
        <v>1</v>
      </c>
      <c r="AZ311">
        <v>0</v>
      </c>
      <c r="BA311">
        <v>312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CX311">
        <f>Y311*Source!I155</f>
        <v>3.5899999999999999E-3</v>
      </c>
      <c r="CY311">
        <f t="shared" si="21"/>
        <v>0</v>
      </c>
      <c r="CZ311">
        <f t="shared" si="22"/>
        <v>0</v>
      </c>
      <c r="DA311">
        <f t="shared" si="23"/>
        <v>1</v>
      </c>
      <c r="DB311">
        <v>0</v>
      </c>
    </row>
    <row r="312" spans="1:106">
      <c r="A312">
        <f>ROW(Source!A155)</f>
        <v>155</v>
      </c>
      <c r="B312">
        <v>48370320</v>
      </c>
      <c r="C312">
        <v>48372114</v>
      </c>
      <c r="D312">
        <v>37777802</v>
      </c>
      <c r="E312">
        <v>1</v>
      </c>
      <c r="F312">
        <v>1</v>
      </c>
      <c r="G312">
        <v>1</v>
      </c>
      <c r="H312">
        <v>3</v>
      </c>
      <c r="I312" t="s">
        <v>616</v>
      </c>
      <c r="J312" t="s">
        <v>617</v>
      </c>
      <c r="K312" t="s">
        <v>618</v>
      </c>
      <c r="L312">
        <v>1339</v>
      </c>
      <c r="N312">
        <v>1007</v>
      </c>
      <c r="O312" t="s">
        <v>543</v>
      </c>
      <c r="P312" t="s">
        <v>543</v>
      </c>
      <c r="Q312">
        <v>1</v>
      </c>
      <c r="W312">
        <v>0</v>
      </c>
      <c r="X312">
        <v>-1418712732</v>
      </c>
      <c r="Y312">
        <v>0.44</v>
      </c>
      <c r="AA312">
        <v>45.55</v>
      </c>
      <c r="AB312">
        <v>0</v>
      </c>
      <c r="AC312">
        <v>0</v>
      </c>
      <c r="AD312">
        <v>0</v>
      </c>
      <c r="AE312">
        <v>2.4700000000000002</v>
      </c>
      <c r="AF312">
        <v>0</v>
      </c>
      <c r="AG312">
        <v>0</v>
      </c>
      <c r="AH312">
        <v>0</v>
      </c>
      <c r="AI312">
        <v>18.440000000000001</v>
      </c>
      <c r="AJ312">
        <v>1</v>
      </c>
      <c r="AK312">
        <v>1</v>
      </c>
      <c r="AL312">
        <v>1</v>
      </c>
      <c r="AN312">
        <v>0</v>
      </c>
      <c r="AO312">
        <v>1</v>
      </c>
      <c r="AP312">
        <v>0</v>
      </c>
      <c r="AQ312">
        <v>0</v>
      </c>
      <c r="AR312">
        <v>0</v>
      </c>
      <c r="AS312" t="s">
        <v>3</v>
      </c>
      <c r="AT312">
        <v>0.44</v>
      </c>
      <c r="AU312" t="s">
        <v>3</v>
      </c>
      <c r="AV312">
        <v>0</v>
      </c>
      <c r="AW312">
        <v>2</v>
      </c>
      <c r="AX312">
        <v>48372127</v>
      </c>
      <c r="AY312">
        <v>1</v>
      </c>
      <c r="AZ312">
        <v>0</v>
      </c>
      <c r="BA312">
        <v>313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CX312">
        <f>Y312*Source!I155</f>
        <v>0.15795999999999999</v>
      </c>
      <c r="CY312">
        <f t="shared" si="21"/>
        <v>45.55</v>
      </c>
      <c r="CZ312">
        <f t="shared" si="22"/>
        <v>2.4700000000000002</v>
      </c>
      <c r="DA312">
        <f t="shared" si="23"/>
        <v>18.440000000000001</v>
      </c>
      <c r="DB312">
        <v>0</v>
      </c>
    </row>
    <row r="313" spans="1:106">
      <c r="A313">
        <f>ROW(Source!A157)</f>
        <v>157</v>
      </c>
      <c r="B313">
        <v>48370320</v>
      </c>
      <c r="C313">
        <v>48372249</v>
      </c>
      <c r="D313">
        <v>23136905</v>
      </c>
      <c r="E313">
        <v>1</v>
      </c>
      <c r="F313">
        <v>1</v>
      </c>
      <c r="G313">
        <v>1</v>
      </c>
      <c r="H313">
        <v>1</v>
      </c>
      <c r="I313" t="s">
        <v>648</v>
      </c>
      <c r="J313" t="s">
        <v>3</v>
      </c>
      <c r="K313" t="s">
        <v>649</v>
      </c>
      <c r="L313">
        <v>1369</v>
      </c>
      <c r="N313">
        <v>1013</v>
      </c>
      <c r="O313" t="s">
        <v>510</v>
      </c>
      <c r="P313" t="s">
        <v>510</v>
      </c>
      <c r="Q313">
        <v>1</v>
      </c>
      <c r="W313">
        <v>0</v>
      </c>
      <c r="X313">
        <v>1351218007</v>
      </c>
      <c r="Y313">
        <v>183.62049999999996</v>
      </c>
      <c r="AA313">
        <v>0</v>
      </c>
      <c r="AB313">
        <v>0</v>
      </c>
      <c r="AC313">
        <v>0</v>
      </c>
      <c r="AD313">
        <v>8.58</v>
      </c>
      <c r="AE313">
        <v>0</v>
      </c>
      <c r="AF313">
        <v>0</v>
      </c>
      <c r="AG313">
        <v>0</v>
      </c>
      <c r="AH313">
        <v>8.58</v>
      </c>
      <c r="AI313">
        <v>1</v>
      </c>
      <c r="AJ313">
        <v>1</v>
      </c>
      <c r="AK313">
        <v>1</v>
      </c>
      <c r="AL313">
        <v>1</v>
      </c>
      <c r="AN313">
        <v>0</v>
      </c>
      <c r="AO313">
        <v>1</v>
      </c>
      <c r="AP313">
        <v>1</v>
      </c>
      <c r="AQ313">
        <v>0</v>
      </c>
      <c r="AR313">
        <v>0</v>
      </c>
      <c r="AS313" t="s">
        <v>3</v>
      </c>
      <c r="AT313">
        <v>159.66999999999999</v>
      </c>
      <c r="AU313" t="s">
        <v>161</v>
      </c>
      <c r="AV313">
        <v>1</v>
      </c>
      <c r="AW313">
        <v>2</v>
      </c>
      <c r="AX313">
        <v>48372250</v>
      </c>
      <c r="AY313">
        <v>1</v>
      </c>
      <c r="AZ313">
        <v>0</v>
      </c>
      <c r="BA313">
        <v>314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CX313">
        <f>Y313*Source!I157</f>
        <v>5.8758559999999989</v>
      </c>
      <c r="CY313">
        <f>AD313</f>
        <v>8.58</v>
      </c>
      <c r="CZ313">
        <f>AH313</f>
        <v>8.58</v>
      </c>
      <c r="DA313">
        <f>AL313</f>
        <v>1</v>
      </c>
      <c r="DB313">
        <v>0</v>
      </c>
    </row>
    <row r="314" spans="1:106">
      <c r="A314">
        <f>ROW(Source!A157)</f>
        <v>157</v>
      </c>
      <c r="B314">
        <v>48370320</v>
      </c>
      <c r="C314">
        <v>48372249</v>
      </c>
      <c r="D314">
        <v>121548</v>
      </c>
      <c r="E314">
        <v>1</v>
      </c>
      <c r="F314">
        <v>1</v>
      </c>
      <c r="G314">
        <v>1</v>
      </c>
      <c r="H314">
        <v>1</v>
      </c>
      <c r="I314" t="s">
        <v>24</v>
      </c>
      <c r="J314" t="s">
        <v>3</v>
      </c>
      <c r="K314" t="s">
        <v>511</v>
      </c>
      <c r="L314">
        <v>608254</v>
      </c>
      <c r="N314">
        <v>1013</v>
      </c>
      <c r="O314" t="s">
        <v>512</v>
      </c>
      <c r="P314" t="s">
        <v>512</v>
      </c>
      <c r="Q314">
        <v>1</v>
      </c>
      <c r="W314">
        <v>0</v>
      </c>
      <c r="X314">
        <v>-185737400</v>
      </c>
      <c r="Y314">
        <v>2.0625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1</v>
      </c>
      <c r="AJ314">
        <v>1</v>
      </c>
      <c r="AK314">
        <v>1</v>
      </c>
      <c r="AL314">
        <v>1</v>
      </c>
      <c r="AN314">
        <v>0</v>
      </c>
      <c r="AO314">
        <v>1</v>
      </c>
      <c r="AP314">
        <v>1</v>
      </c>
      <c r="AQ314">
        <v>0</v>
      </c>
      <c r="AR314">
        <v>0</v>
      </c>
      <c r="AS314" t="s">
        <v>3</v>
      </c>
      <c r="AT314">
        <v>1.65</v>
      </c>
      <c r="AU314" t="s">
        <v>160</v>
      </c>
      <c r="AV314">
        <v>2</v>
      </c>
      <c r="AW314">
        <v>2</v>
      </c>
      <c r="AX314">
        <v>48372251</v>
      </c>
      <c r="AY314">
        <v>1</v>
      </c>
      <c r="AZ314">
        <v>0</v>
      </c>
      <c r="BA314">
        <v>315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CX314">
        <f>Y314*Source!I157</f>
        <v>6.6000000000000003E-2</v>
      </c>
      <c r="CY314">
        <f>AD314</f>
        <v>0</v>
      </c>
      <c r="CZ314">
        <f>AH314</f>
        <v>0</v>
      </c>
      <c r="DA314">
        <f>AL314</f>
        <v>1</v>
      </c>
      <c r="DB314">
        <v>0</v>
      </c>
    </row>
    <row r="315" spans="1:106">
      <c r="A315">
        <f>ROW(Source!A157)</f>
        <v>157</v>
      </c>
      <c r="B315">
        <v>48370320</v>
      </c>
      <c r="C315">
        <v>48372249</v>
      </c>
      <c r="D315">
        <v>37802515</v>
      </c>
      <c r="E315">
        <v>1</v>
      </c>
      <c r="F315">
        <v>1</v>
      </c>
      <c r="G315">
        <v>1</v>
      </c>
      <c r="H315">
        <v>2</v>
      </c>
      <c r="I315" t="s">
        <v>650</v>
      </c>
      <c r="J315" t="s">
        <v>651</v>
      </c>
      <c r="K315" t="s">
        <v>652</v>
      </c>
      <c r="L315">
        <v>1368</v>
      </c>
      <c r="N315">
        <v>1011</v>
      </c>
      <c r="O315" t="s">
        <v>516</v>
      </c>
      <c r="P315" t="s">
        <v>516</v>
      </c>
      <c r="Q315">
        <v>1</v>
      </c>
      <c r="W315">
        <v>0</v>
      </c>
      <c r="X315">
        <v>-674318163</v>
      </c>
      <c r="Y315">
        <v>0.1</v>
      </c>
      <c r="AA315">
        <v>0</v>
      </c>
      <c r="AB315">
        <v>690.07</v>
      </c>
      <c r="AC315">
        <v>187.92</v>
      </c>
      <c r="AD315">
        <v>0</v>
      </c>
      <c r="AE315">
        <v>0</v>
      </c>
      <c r="AF315">
        <v>87.24</v>
      </c>
      <c r="AG315">
        <v>9</v>
      </c>
      <c r="AH315">
        <v>0</v>
      </c>
      <c r="AI315">
        <v>1</v>
      </c>
      <c r="AJ315">
        <v>7.91</v>
      </c>
      <c r="AK315">
        <v>20.88</v>
      </c>
      <c r="AL315">
        <v>1</v>
      </c>
      <c r="AN315">
        <v>0</v>
      </c>
      <c r="AO315">
        <v>1</v>
      </c>
      <c r="AP315">
        <v>1</v>
      </c>
      <c r="AQ315">
        <v>0</v>
      </c>
      <c r="AR315">
        <v>0</v>
      </c>
      <c r="AS315" t="s">
        <v>3</v>
      </c>
      <c r="AT315">
        <v>0.08</v>
      </c>
      <c r="AU315" t="s">
        <v>160</v>
      </c>
      <c r="AV315">
        <v>0</v>
      </c>
      <c r="AW315">
        <v>2</v>
      </c>
      <c r="AX315">
        <v>48372252</v>
      </c>
      <c r="AY315">
        <v>1</v>
      </c>
      <c r="AZ315">
        <v>0</v>
      </c>
      <c r="BA315">
        <v>316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CX315">
        <f>Y315*Source!I157</f>
        <v>3.2000000000000002E-3</v>
      </c>
      <c r="CY315">
        <f>AB315</f>
        <v>690.07</v>
      </c>
      <c r="CZ315">
        <f>AF315</f>
        <v>87.24</v>
      </c>
      <c r="DA315">
        <f>AJ315</f>
        <v>7.91</v>
      </c>
      <c r="DB315">
        <v>0</v>
      </c>
    </row>
    <row r="316" spans="1:106">
      <c r="A316">
        <f>ROW(Source!A157)</f>
        <v>157</v>
      </c>
      <c r="B316">
        <v>48370320</v>
      </c>
      <c r="C316">
        <v>48372249</v>
      </c>
      <c r="D316">
        <v>37802578</v>
      </c>
      <c r="E316">
        <v>1</v>
      </c>
      <c r="F316">
        <v>1</v>
      </c>
      <c r="G316">
        <v>1</v>
      </c>
      <c r="H316">
        <v>2</v>
      </c>
      <c r="I316" t="s">
        <v>550</v>
      </c>
      <c r="J316" t="s">
        <v>551</v>
      </c>
      <c r="K316" t="s">
        <v>552</v>
      </c>
      <c r="L316">
        <v>1368</v>
      </c>
      <c r="N316">
        <v>1011</v>
      </c>
      <c r="O316" t="s">
        <v>516</v>
      </c>
      <c r="P316" t="s">
        <v>516</v>
      </c>
      <c r="Q316">
        <v>1</v>
      </c>
      <c r="W316">
        <v>0</v>
      </c>
      <c r="X316">
        <v>1753337916</v>
      </c>
      <c r="Y316">
        <v>0.33750000000000002</v>
      </c>
      <c r="AA316">
        <v>0</v>
      </c>
      <c r="AB316">
        <v>327.64</v>
      </c>
      <c r="AC316">
        <v>252.65</v>
      </c>
      <c r="AD316">
        <v>0</v>
      </c>
      <c r="AE316">
        <v>0</v>
      </c>
      <c r="AF316">
        <v>32.090000000000003</v>
      </c>
      <c r="AG316">
        <v>12.1</v>
      </c>
      <c r="AH316">
        <v>0</v>
      </c>
      <c r="AI316">
        <v>1</v>
      </c>
      <c r="AJ316">
        <v>10.210000000000001</v>
      </c>
      <c r="AK316">
        <v>20.88</v>
      </c>
      <c r="AL316">
        <v>1</v>
      </c>
      <c r="AN316">
        <v>0</v>
      </c>
      <c r="AO316">
        <v>1</v>
      </c>
      <c r="AP316">
        <v>1</v>
      </c>
      <c r="AQ316">
        <v>0</v>
      </c>
      <c r="AR316">
        <v>0</v>
      </c>
      <c r="AS316" t="s">
        <v>3</v>
      </c>
      <c r="AT316">
        <v>0.27</v>
      </c>
      <c r="AU316" t="s">
        <v>160</v>
      </c>
      <c r="AV316">
        <v>0</v>
      </c>
      <c r="AW316">
        <v>2</v>
      </c>
      <c r="AX316">
        <v>48372253</v>
      </c>
      <c r="AY316">
        <v>1</v>
      </c>
      <c r="AZ316">
        <v>0</v>
      </c>
      <c r="BA316">
        <v>317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CX316">
        <f>Y316*Source!I157</f>
        <v>1.0800000000000001E-2</v>
      </c>
      <c r="CY316">
        <f>AB316</f>
        <v>327.64</v>
      </c>
      <c r="CZ316">
        <f>AF316</f>
        <v>32.090000000000003</v>
      </c>
      <c r="DA316">
        <f>AJ316</f>
        <v>10.210000000000001</v>
      </c>
      <c r="DB316">
        <v>0</v>
      </c>
    </row>
    <row r="317" spans="1:106">
      <c r="A317">
        <f>ROW(Source!A157)</f>
        <v>157</v>
      </c>
      <c r="B317">
        <v>48370320</v>
      </c>
      <c r="C317">
        <v>48372249</v>
      </c>
      <c r="D317">
        <v>37802992</v>
      </c>
      <c r="E317">
        <v>1</v>
      </c>
      <c r="F317">
        <v>1</v>
      </c>
      <c r="G317">
        <v>1</v>
      </c>
      <c r="H317">
        <v>2</v>
      </c>
      <c r="I317" t="s">
        <v>653</v>
      </c>
      <c r="J317" t="s">
        <v>654</v>
      </c>
      <c r="K317" t="s">
        <v>655</v>
      </c>
      <c r="L317">
        <v>1368</v>
      </c>
      <c r="N317">
        <v>1011</v>
      </c>
      <c r="O317" t="s">
        <v>516</v>
      </c>
      <c r="P317" t="s">
        <v>516</v>
      </c>
      <c r="Q317">
        <v>1</v>
      </c>
      <c r="W317">
        <v>0</v>
      </c>
      <c r="X317">
        <v>1801551115</v>
      </c>
      <c r="Y317">
        <v>1.625</v>
      </c>
      <c r="AA317">
        <v>0</v>
      </c>
      <c r="AB317">
        <v>207.72</v>
      </c>
      <c r="AC317">
        <v>187.92</v>
      </c>
      <c r="AD317">
        <v>0</v>
      </c>
      <c r="AE317">
        <v>0</v>
      </c>
      <c r="AF317">
        <v>11.32</v>
      </c>
      <c r="AG317">
        <v>9</v>
      </c>
      <c r="AH317">
        <v>0</v>
      </c>
      <c r="AI317">
        <v>1</v>
      </c>
      <c r="AJ317">
        <v>18.350000000000001</v>
      </c>
      <c r="AK317">
        <v>20.88</v>
      </c>
      <c r="AL317">
        <v>1</v>
      </c>
      <c r="AN317">
        <v>0</v>
      </c>
      <c r="AO317">
        <v>1</v>
      </c>
      <c r="AP317">
        <v>1</v>
      </c>
      <c r="AQ317">
        <v>0</v>
      </c>
      <c r="AR317">
        <v>0</v>
      </c>
      <c r="AS317" t="s">
        <v>3</v>
      </c>
      <c r="AT317">
        <v>1.3</v>
      </c>
      <c r="AU317" t="s">
        <v>160</v>
      </c>
      <c r="AV317">
        <v>0</v>
      </c>
      <c r="AW317">
        <v>2</v>
      </c>
      <c r="AX317">
        <v>48372254</v>
      </c>
      <c r="AY317">
        <v>1</v>
      </c>
      <c r="AZ317">
        <v>0</v>
      </c>
      <c r="BA317">
        <v>318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CX317">
        <f>Y317*Source!I157</f>
        <v>5.2000000000000005E-2</v>
      </c>
      <c r="CY317">
        <f>AB317</f>
        <v>207.72</v>
      </c>
      <c r="CZ317">
        <f>AF317</f>
        <v>11.32</v>
      </c>
      <c r="DA317">
        <f>AJ317</f>
        <v>18.350000000000001</v>
      </c>
      <c r="DB317">
        <v>0</v>
      </c>
    </row>
    <row r="318" spans="1:106">
      <c r="A318">
        <f>ROW(Source!A157)</f>
        <v>157</v>
      </c>
      <c r="B318">
        <v>48370320</v>
      </c>
      <c r="C318">
        <v>48372249</v>
      </c>
      <c r="D318">
        <v>37732053</v>
      </c>
      <c r="E318">
        <v>1</v>
      </c>
      <c r="F318">
        <v>1</v>
      </c>
      <c r="G318">
        <v>1</v>
      </c>
      <c r="H318">
        <v>3</v>
      </c>
      <c r="I318" t="s">
        <v>187</v>
      </c>
      <c r="J318" t="s">
        <v>190</v>
      </c>
      <c r="K318" t="s">
        <v>188</v>
      </c>
      <c r="L318">
        <v>1327</v>
      </c>
      <c r="N318">
        <v>1005</v>
      </c>
      <c r="O318" t="s">
        <v>189</v>
      </c>
      <c r="P318" t="s">
        <v>189</v>
      </c>
      <c r="Q318">
        <v>1</v>
      </c>
      <c r="W318">
        <v>1</v>
      </c>
      <c r="X318">
        <v>-1026179426</v>
      </c>
      <c r="Y318">
        <v>-100</v>
      </c>
      <c r="AA318">
        <v>257.04000000000002</v>
      </c>
      <c r="AB318">
        <v>0</v>
      </c>
      <c r="AC318">
        <v>0</v>
      </c>
      <c r="AD318">
        <v>0</v>
      </c>
      <c r="AE318">
        <v>68</v>
      </c>
      <c r="AF318">
        <v>0</v>
      </c>
      <c r="AG318">
        <v>0</v>
      </c>
      <c r="AH318">
        <v>0</v>
      </c>
      <c r="AI318">
        <v>3.78</v>
      </c>
      <c r="AJ318">
        <v>1</v>
      </c>
      <c r="AK318">
        <v>1</v>
      </c>
      <c r="AL318">
        <v>1</v>
      </c>
      <c r="AN318">
        <v>0</v>
      </c>
      <c r="AO318">
        <v>1</v>
      </c>
      <c r="AP318">
        <v>0</v>
      </c>
      <c r="AQ318">
        <v>0</v>
      </c>
      <c r="AR318">
        <v>0</v>
      </c>
      <c r="AS318" t="s">
        <v>3</v>
      </c>
      <c r="AT318">
        <v>-100</v>
      </c>
      <c r="AU318" t="s">
        <v>3</v>
      </c>
      <c r="AV318">
        <v>0</v>
      </c>
      <c r="AW318">
        <v>2</v>
      </c>
      <c r="AX318">
        <v>48372255</v>
      </c>
      <c r="AY318">
        <v>1</v>
      </c>
      <c r="AZ318">
        <v>6144</v>
      </c>
      <c r="BA318">
        <v>319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CX318">
        <f>Y318*Source!I157</f>
        <v>-3.2</v>
      </c>
      <c r="CY318">
        <f>AA318</f>
        <v>257.04000000000002</v>
      </c>
      <c r="CZ318">
        <f>AE318</f>
        <v>68</v>
      </c>
      <c r="DA318">
        <f>AI318</f>
        <v>3.78</v>
      </c>
      <c r="DB318">
        <v>0</v>
      </c>
    </row>
    <row r="319" spans="1:106">
      <c r="A319">
        <f>ROW(Source!A157)</f>
        <v>157</v>
      </c>
      <c r="B319">
        <v>48370320</v>
      </c>
      <c r="C319">
        <v>48372249</v>
      </c>
      <c r="D319">
        <v>37729991</v>
      </c>
      <c r="E319">
        <v>1</v>
      </c>
      <c r="F319">
        <v>1</v>
      </c>
      <c r="G319">
        <v>1</v>
      </c>
      <c r="H319">
        <v>3</v>
      </c>
      <c r="I319" t="s">
        <v>625</v>
      </c>
      <c r="J319" t="s">
        <v>626</v>
      </c>
      <c r="K319" t="s">
        <v>627</v>
      </c>
      <c r="L319">
        <v>1346</v>
      </c>
      <c r="N319">
        <v>1009</v>
      </c>
      <c r="O319" t="s">
        <v>172</v>
      </c>
      <c r="P319" t="s">
        <v>172</v>
      </c>
      <c r="Q319">
        <v>1</v>
      </c>
      <c r="W319">
        <v>0</v>
      </c>
      <c r="X319">
        <v>844235703</v>
      </c>
      <c r="Y319">
        <v>0.5</v>
      </c>
      <c r="AA319">
        <v>26.15</v>
      </c>
      <c r="AB319">
        <v>0</v>
      </c>
      <c r="AC319">
        <v>0</v>
      </c>
      <c r="AD319">
        <v>0</v>
      </c>
      <c r="AE319">
        <v>1.82</v>
      </c>
      <c r="AF319">
        <v>0</v>
      </c>
      <c r="AG319">
        <v>0</v>
      </c>
      <c r="AH319">
        <v>0</v>
      </c>
      <c r="AI319">
        <v>14.37</v>
      </c>
      <c r="AJ319">
        <v>1</v>
      </c>
      <c r="AK319">
        <v>1</v>
      </c>
      <c r="AL319">
        <v>1</v>
      </c>
      <c r="AN319">
        <v>0</v>
      </c>
      <c r="AO319">
        <v>1</v>
      </c>
      <c r="AP319">
        <v>0</v>
      </c>
      <c r="AQ319">
        <v>0</v>
      </c>
      <c r="AR319">
        <v>0</v>
      </c>
      <c r="AS319" t="s">
        <v>3</v>
      </c>
      <c r="AT319">
        <v>0.5</v>
      </c>
      <c r="AU319" t="s">
        <v>3</v>
      </c>
      <c r="AV319">
        <v>0</v>
      </c>
      <c r="AW319">
        <v>2</v>
      </c>
      <c r="AX319">
        <v>48372256</v>
      </c>
      <c r="AY319">
        <v>1</v>
      </c>
      <c r="AZ319">
        <v>0</v>
      </c>
      <c r="BA319">
        <v>320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CX319">
        <f>Y319*Source!I157</f>
        <v>1.6E-2</v>
      </c>
      <c r="CY319">
        <f>AA319</f>
        <v>26.15</v>
      </c>
      <c r="CZ319">
        <f>AE319</f>
        <v>1.82</v>
      </c>
      <c r="DA319">
        <f>AI319</f>
        <v>14.37</v>
      </c>
      <c r="DB319">
        <v>0</v>
      </c>
    </row>
    <row r="320" spans="1:106">
      <c r="A320">
        <f>ROW(Source!A157)</f>
        <v>157</v>
      </c>
      <c r="B320">
        <v>48370320</v>
      </c>
      <c r="C320">
        <v>48372249</v>
      </c>
      <c r="D320">
        <v>37731581</v>
      </c>
      <c r="E320">
        <v>1</v>
      </c>
      <c r="F320">
        <v>1</v>
      </c>
      <c r="G320">
        <v>1</v>
      </c>
      <c r="H320">
        <v>3</v>
      </c>
      <c r="I320" t="s">
        <v>656</v>
      </c>
      <c r="J320" t="s">
        <v>657</v>
      </c>
      <c r="K320" t="s">
        <v>658</v>
      </c>
      <c r="L320">
        <v>1348</v>
      </c>
      <c r="N320">
        <v>1009</v>
      </c>
      <c r="O320" t="s">
        <v>536</v>
      </c>
      <c r="P320" t="s">
        <v>536</v>
      </c>
      <c r="Q320">
        <v>1000</v>
      </c>
      <c r="W320">
        <v>0</v>
      </c>
      <c r="X320">
        <v>147652944</v>
      </c>
      <c r="Y320">
        <v>0.375</v>
      </c>
      <c r="AA320">
        <v>14345.02</v>
      </c>
      <c r="AB320">
        <v>0</v>
      </c>
      <c r="AC320">
        <v>0</v>
      </c>
      <c r="AD320">
        <v>0</v>
      </c>
      <c r="AE320">
        <v>4929.5600000000004</v>
      </c>
      <c r="AF320">
        <v>0</v>
      </c>
      <c r="AG320">
        <v>0</v>
      </c>
      <c r="AH320">
        <v>0</v>
      </c>
      <c r="AI320">
        <v>2.91</v>
      </c>
      <c r="AJ320">
        <v>1</v>
      </c>
      <c r="AK320">
        <v>1</v>
      </c>
      <c r="AL320">
        <v>1</v>
      </c>
      <c r="AN320">
        <v>0</v>
      </c>
      <c r="AO320">
        <v>1</v>
      </c>
      <c r="AP320">
        <v>0</v>
      </c>
      <c r="AQ320">
        <v>0</v>
      </c>
      <c r="AR320">
        <v>0</v>
      </c>
      <c r="AS320" t="s">
        <v>3</v>
      </c>
      <c r="AT320">
        <v>0.375</v>
      </c>
      <c r="AU320" t="s">
        <v>3</v>
      </c>
      <c r="AV320">
        <v>0</v>
      </c>
      <c r="AW320">
        <v>2</v>
      </c>
      <c r="AX320">
        <v>48372257</v>
      </c>
      <c r="AY320">
        <v>1</v>
      </c>
      <c r="AZ320">
        <v>0</v>
      </c>
      <c r="BA320">
        <v>321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CX320">
        <f>Y320*Source!I157</f>
        <v>1.2E-2</v>
      </c>
      <c r="CY320">
        <f>AA320</f>
        <v>14345.02</v>
      </c>
      <c r="CZ320">
        <f>AE320</f>
        <v>4929.5600000000004</v>
      </c>
      <c r="DA320">
        <f>AI320</f>
        <v>2.91</v>
      </c>
      <c r="DB320">
        <v>0</v>
      </c>
    </row>
    <row r="321" spans="1:106">
      <c r="A321">
        <f>ROW(Source!A157)</f>
        <v>157</v>
      </c>
      <c r="B321">
        <v>48370320</v>
      </c>
      <c r="C321">
        <v>48372249</v>
      </c>
      <c r="D321">
        <v>37768198</v>
      </c>
      <c r="E321">
        <v>1</v>
      </c>
      <c r="F321">
        <v>1</v>
      </c>
      <c r="G321">
        <v>1</v>
      </c>
      <c r="H321">
        <v>3</v>
      </c>
      <c r="I321" t="s">
        <v>659</v>
      </c>
      <c r="J321" t="s">
        <v>660</v>
      </c>
      <c r="K321" t="s">
        <v>661</v>
      </c>
      <c r="L321">
        <v>1348</v>
      </c>
      <c r="N321">
        <v>1009</v>
      </c>
      <c r="O321" t="s">
        <v>536</v>
      </c>
      <c r="P321" t="s">
        <v>536</v>
      </c>
      <c r="Q321">
        <v>1000</v>
      </c>
      <c r="W321">
        <v>0</v>
      </c>
      <c r="X321">
        <v>158175327</v>
      </c>
      <c r="Y321">
        <v>0.05</v>
      </c>
      <c r="AA321">
        <v>30784.95</v>
      </c>
      <c r="AB321">
        <v>0</v>
      </c>
      <c r="AC321">
        <v>0</v>
      </c>
      <c r="AD321">
        <v>0</v>
      </c>
      <c r="AE321">
        <v>9135</v>
      </c>
      <c r="AF321">
        <v>0</v>
      </c>
      <c r="AG321">
        <v>0</v>
      </c>
      <c r="AH321">
        <v>0</v>
      </c>
      <c r="AI321">
        <v>3.37</v>
      </c>
      <c r="AJ321">
        <v>1</v>
      </c>
      <c r="AK321">
        <v>1</v>
      </c>
      <c r="AL321">
        <v>1</v>
      </c>
      <c r="AN321">
        <v>0</v>
      </c>
      <c r="AO321">
        <v>1</v>
      </c>
      <c r="AP321">
        <v>0</v>
      </c>
      <c r="AQ321">
        <v>0</v>
      </c>
      <c r="AR321">
        <v>0</v>
      </c>
      <c r="AS321" t="s">
        <v>3</v>
      </c>
      <c r="AT321">
        <v>0.05</v>
      </c>
      <c r="AU321" t="s">
        <v>3</v>
      </c>
      <c r="AV321">
        <v>0</v>
      </c>
      <c r="AW321">
        <v>2</v>
      </c>
      <c r="AX321">
        <v>48372258</v>
      </c>
      <c r="AY321">
        <v>1</v>
      </c>
      <c r="AZ321">
        <v>0</v>
      </c>
      <c r="BA321">
        <v>322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CX321">
        <f>Y321*Source!I157</f>
        <v>1.6000000000000001E-3</v>
      </c>
      <c r="CY321">
        <f>AA321</f>
        <v>30784.95</v>
      </c>
      <c r="CZ321">
        <f>AE321</f>
        <v>9135</v>
      </c>
      <c r="DA321">
        <f>AI321</f>
        <v>3.37</v>
      </c>
      <c r="DB321">
        <v>0</v>
      </c>
    </row>
    <row r="322" spans="1:106">
      <c r="A322">
        <f>ROW(Source!A157)</f>
        <v>157</v>
      </c>
      <c r="B322">
        <v>48370320</v>
      </c>
      <c r="C322">
        <v>48372249</v>
      </c>
      <c r="D322">
        <v>37777802</v>
      </c>
      <c r="E322">
        <v>1</v>
      </c>
      <c r="F322">
        <v>1</v>
      </c>
      <c r="G322">
        <v>1</v>
      </c>
      <c r="H322">
        <v>3</v>
      </c>
      <c r="I322" t="s">
        <v>616</v>
      </c>
      <c r="J322" t="s">
        <v>617</v>
      </c>
      <c r="K322" t="s">
        <v>618</v>
      </c>
      <c r="L322">
        <v>1339</v>
      </c>
      <c r="N322">
        <v>1007</v>
      </c>
      <c r="O322" t="s">
        <v>543</v>
      </c>
      <c r="P322" t="s">
        <v>543</v>
      </c>
      <c r="Q322">
        <v>1</v>
      </c>
      <c r="W322">
        <v>0</v>
      </c>
      <c r="X322">
        <v>-1418712732</v>
      </c>
      <c r="Y322">
        <v>0.93</v>
      </c>
      <c r="AA322">
        <v>45.55</v>
      </c>
      <c r="AB322">
        <v>0</v>
      </c>
      <c r="AC322">
        <v>0</v>
      </c>
      <c r="AD322">
        <v>0</v>
      </c>
      <c r="AE322">
        <v>2.4700000000000002</v>
      </c>
      <c r="AF322">
        <v>0</v>
      </c>
      <c r="AG322">
        <v>0</v>
      </c>
      <c r="AH322">
        <v>0</v>
      </c>
      <c r="AI322">
        <v>18.440000000000001</v>
      </c>
      <c r="AJ322">
        <v>1</v>
      </c>
      <c r="AK322">
        <v>1</v>
      </c>
      <c r="AL322">
        <v>1</v>
      </c>
      <c r="AN322">
        <v>0</v>
      </c>
      <c r="AO322">
        <v>1</v>
      </c>
      <c r="AP322">
        <v>0</v>
      </c>
      <c r="AQ322">
        <v>0</v>
      </c>
      <c r="AR322">
        <v>0</v>
      </c>
      <c r="AS322" t="s">
        <v>3</v>
      </c>
      <c r="AT322">
        <v>0.93</v>
      </c>
      <c r="AU322" t="s">
        <v>3</v>
      </c>
      <c r="AV322">
        <v>0</v>
      </c>
      <c r="AW322">
        <v>2</v>
      </c>
      <c r="AX322">
        <v>48372259</v>
      </c>
      <c r="AY322">
        <v>1</v>
      </c>
      <c r="AZ322">
        <v>0</v>
      </c>
      <c r="BA322">
        <v>323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CX322">
        <f>Y322*Source!I157</f>
        <v>2.9760000000000002E-2</v>
      </c>
      <c r="CY322">
        <f>AA322</f>
        <v>45.55</v>
      </c>
      <c r="CZ322">
        <f>AE322</f>
        <v>2.4700000000000002</v>
      </c>
      <c r="DA322">
        <f>AI322</f>
        <v>18.440000000000001</v>
      </c>
      <c r="DB322">
        <v>0</v>
      </c>
    </row>
    <row r="323" spans="1:106">
      <c r="A323">
        <f>ROW(Source!A160)</f>
        <v>160</v>
      </c>
      <c r="B323">
        <v>48370320</v>
      </c>
      <c r="C323">
        <v>48372448</v>
      </c>
      <c r="D323">
        <v>23134628</v>
      </c>
      <c r="E323">
        <v>1</v>
      </c>
      <c r="F323">
        <v>1</v>
      </c>
      <c r="G323">
        <v>1</v>
      </c>
      <c r="H323">
        <v>1</v>
      </c>
      <c r="I323" t="s">
        <v>897</v>
      </c>
      <c r="J323" t="s">
        <v>3</v>
      </c>
      <c r="K323" t="s">
        <v>898</v>
      </c>
      <c r="L323">
        <v>1369</v>
      </c>
      <c r="N323">
        <v>1013</v>
      </c>
      <c r="O323" t="s">
        <v>510</v>
      </c>
      <c r="P323" t="s">
        <v>510</v>
      </c>
      <c r="Q323">
        <v>1</v>
      </c>
      <c r="W323">
        <v>0</v>
      </c>
      <c r="X323">
        <v>-300987236</v>
      </c>
      <c r="Y323">
        <v>234.66899999999998</v>
      </c>
      <c r="AA323">
        <v>0</v>
      </c>
      <c r="AB323">
        <v>0</v>
      </c>
      <c r="AC323">
        <v>0</v>
      </c>
      <c r="AD323">
        <v>8.68</v>
      </c>
      <c r="AE323">
        <v>0</v>
      </c>
      <c r="AF323">
        <v>0</v>
      </c>
      <c r="AG323">
        <v>0</v>
      </c>
      <c r="AH323">
        <v>8.68</v>
      </c>
      <c r="AI323">
        <v>1</v>
      </c>
      <c r="AJ323">
        <v>1</v>
      </c>
      <c r="AK323">
        <v>1</v>
      </c>
      <c r="AL323">
        <v>1</v>
      </c>
      <c r="AN323">
        <v>0</v>
      </c>
      <c r="AO323">
        <v>1</v>
      </c>
      <c r="AP323">
        <v>1</v>
      </c>
      <c r="AQ323">
        <v>0</v>
      </c>
      <c r="AR323">
        <v>0</v>
      </c>
      <c r="AS323" t="s">
        <v>3</v>
      </c>
      <c r="AT323">
        <v>204.06</v>
      </c>
      <c r="AU323" t="s">
        <v>161</v>
      </c>
      <c r="AV323">
        <v>1</v>
      </c>
      <c r="AW323">
        <v>2</v>
      </c>
      <c r="AX323">
        <v>48372449</v>
      </c>
      <c r="AY323">
        <v>1</v>
      </c>
      <c r="AZ323">
        <v>0</v>
      </c>
      <c r="BA323">
        <v>324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CX323">
        <f>Y323*Source!I160</f>
        <v>6.6645995999999998</v>
      </c>
      <c r="CY323">
        <f>AD323</f>
        <v>8.68</v>
      </c>
      <c r="CZ323">
        <f>AH323</f>
        <v>8.68</v>
      </c>
      <c r="DA323">
        <f>AL323</f>
        <v>1</v>
      </c>
      <c r="DB323">
        <v>0</v>
      </c>
    </row>
    <row r="324" spans="1:106">
      <c r="A324">
        <f>ROW(Source!A160)</f>
        <v>160</v>
      </c>
      <c r="B324">
        <v>48370320</v>
      </c>
      <c r="C324">
        <v>48372448</v>
      </c>
      <c r="D324">
        <v>121548</v>
      </c>
      <c r="E324">
        <v>1</v>
      </c>
      <c r="F324">
        <v>1</v>
      </c>
      <c r="G324">
        <v>1</v>
      </c>
      <c r="H324">
        <v>1</v>
      </c>
      <c r="I324" t="s">
        <v>24</v>
      </c>
      <c r="J324" t="s">
        <v>3</v>
      </c>
      <c r="K324" t="s">
        <v>511</v>
      </c>
      <c r="L324">
        <v>608254</v>
      </c>
      <c r="N324">
        <v>1013</v>
      </c>
      <c r="O324" t="s">
        <v>512</v>
      </c>
      <c r="P324" t="s">
        <v>512</v>
      </c>
      <c r="Q324">
        <v>1</v>
      </c>
      <c r="W324">
        <v>0</v>
      </c>
      <c r="X324">
        <v>-185737400</v>
      </c>
      <c r="Y324">
        <v>2.5750000000000002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1</v>
      </c>
      <c r="AJ324">
        <v>1</v>
      </c>
      <c r="AK324">
        <v>1</v>
      </c>
      <c r="AL324">
        <v>1</v>
      </c>
      <c r="AN324">
        <v>0</v>
      </c>
      <c r="AO324">
        <v>1</v>
      </c>
      <c r="AP324">
        <v>1</v>
      </c>
      <c r="AQ324">
        <v>0</v>
      </c>
      <c r="AR324">
        <v>0</v>
      </c>
      <c r="AS324" t="s">
        <v>3</v>
      </c>
      <c r="AT324">
        <v>2.06</v>
      </c>
      <c r="AU324" t="s">
        <v>160</v>
      </c>
      <c r="AV324">
        <v>2</v>
      </c>
      <c r="AW324">
        <v>2</v>
      </c>
      <c r="AX324">
        <v>48372450</v>
      </c>
      <c r="AY324">
        <v>1</v>
      </c>
      <c r="AZ324">
        <v>0</v>
      </c>
      <c r="BA324">
        <v>325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CX324">
        <f>Y324*Source!I160</f>
        <v>7.3130000000000014E-2</v>
      </c>
      <c r="CY324">
        <f>AD324</f>
        <v>0</v>
      </c>
      <c r="CZ324">
        <f>AH324</f>
        <v>0</v>
      </c>
      <c r="DA324">
        <f>AL324</f>
        <v>1</v>
      </c>
      <c r="DB324">
        <v>0</v>
      </c>
    </row>
    <row r="325" spans="1:106">
      <c r="A325">
        <f>ROW(Source!A160)</f>
        <v>160</v>
      </c>
      <c r="B325">
        <v>48370320</v>
      </c>
      <c r="C325">
        <v>48372448</v>
      </c>
      <c r="D325">
        <v>37802578</v>
      </c>
      <c r="E325">
        <v>1</v>
      </c>
      <c r="F325">
        <v>1</v>
      </c>
      <c r="G325">
        <v>1</v>
      </c>
      <c r="H325">
        <v>2</v>
      </c>
      <c r="I325" t="s">
        <v>550</v>
      </c>
      <c r="J325" t="s">
        <v>551</v>
      </c>
      <c r="K325" t="s">
        <v>552</v>
      </c>
      <c r="L325">
        <v>1368</v>
      </c>
      <c r="N325">
        <v>1011</v>
      </c>
      <c r="O325" t="s">
        <v>516</v>
      </c>
      <c r="P325" t="s">
        <v>516</v>
      </c>
      <c r="Q325">
        <v>1</v>
      </c>
      <c r="W325">
        <v>0</v>
      </c>
      <c r="X325">
        <v>1753337916</v>
      </c>
      <c r="Y325">
        <v>2.5750000000000002</v>
      </c>
      <c r="AA325">
        <v>0</v>
      </c>
      <c r="AB325">
        <v>327.64</v>
      </c>
      <c r="AC325">
        <v>252.65</v>
      </c>
      <c r="AD325">
        <v>0</v>
      </c>
      <c r="AE325">
        <v>0</v>
      </c>
      <c r="AF325">
        <v>32.090000000000003</v>
      </c>
      <c r="AG325">
        <v>12.1</v>
      </c>
      <c r="AH325">
        <v>0</v>
      </c>
      <c r="AI325">
        <v>1</v>
      </c>
      <c r="AJ325">
        <v>10.210000000000001</v>
      </c>
      <c r="AK325">
        <v>20.88</v>
      </c>
      <c r="AL325">
        <v>1</v>
      </c>
      <c r="AN325">
        <v>0</v>
      </c>
      <c r="AO325">
        <v>1</v>
      </c>
      <c r="AP325">
        <v>1</v>
      </c>
      <c r="AQ325">
        <v>0</v>
      </c>
      <c r="AR325">
        <v>0</v>
      </c>
      <c r="AS325" t="s">
        <v>3</v>
      </c>
      <c r="AT325">
        <v>2.06</v>
      </c>
      <c r="AU325" t="s">
        <v>160</v>
      </c>
      <c r="AV325">
        <v>0</v>
      </c>
      <c r="AW325">
        <v>2</v>
      </c>
      <c r="AX325">
        <v>48372451</v>
      </c>
      <c r="AY325">
        <v>1</v>
      </c>
      <c r="AZ325">
        <v>0</v>
      </c>
      <c r="BA325">
        <v>326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CX325">
        <f>Y325*Source!I160</f>
        <v>7.3130000000000014E-2</v>
      </c>
      <c r="CY325">
        <f>AB325</f>
        <v>327.64</v>
      </c>
      <c r="CZ325">
        <f>AF325</f>
        <v>32.090000000000003</v>
      </c>
      <c r="DA325">
        <f>AJ325</f>
        <v>10.210000000000001</v>
      </c>
      <c r="DB325">
        <v>0</v>
      </c>
    </row>
    <row r="326" spans="1:106">
      <c r="A326">
        <f>ROW(Source!A160)</f>
        <v>160</v>
      </c>
      <c r="B326">
        <v>48370320</v>
      </c>
      <c r="C326">
        <v>48372448</v>
      </c>
      <c r="D326">
        <v>37768066</v>
      </c>
      <c r="E326">
        <v>1</v>
      </c>
      <c r="F326">
        <v>1</v>
      </c>
      <c r="G326">
        <v>1</v>
      </c>
      <c r="H326">
        <v>3</v>
      </c>
      <c r="I326" t="s">
        <v>642</v>
      </c>
      <c r="J326" t="s">
        <v>643</v>
      </c>
      <c r="K326" t="s">
        <v>644</v>
      </c>
      <c r="L326">
        <v>1339</v>
      </c>
      <c r="N326">
        <v>1007</v>
      </c>
      <c r="O326" t="s">
        <v>543</v>
      </c>
      <c r="P326" t="s">
        <v>543</v>
      </c>
      <c r="Q326">
        <v>1</v>
      </c>
      <c r="W326">
        <v>0</v>
      </c>
      <c r="X326">
        <v>-410080015</v>
      </c>
      <c r="Y326">
        <v>0.1</v>
      </c>
      <c r="AA326">
        <v>2960.58</v>
      </c>
      <c r="AB326">
        <v>0</v>
      </c>
      <c r="AC326">
        <v>0</v>
      </c>
      <c r="AD326">
        <v>0</v>
      </c>
      <c r="AE326">
        <v>399</v>
      </c>
      <c r="AF326">
        <v>0</v>
      </c>
      <c r="AG326">
        <v>0</v>
      </c>
      <c r="AH326">
        <v>0</v>
      </c>
      <c r="AI326">
        <v>7.42</v>
      </c>
      <c r="AJ326">
        <v>1</v>
      </c>
      <c r="AK326">
        <v>1</v>
      </c>
      <c r="AL326">
        <v>1</v>
      </c>
      <c r="AN326">
        <v>0</v>
      </c>
      <c r="AO326">
        <v>1</v>
      </c>
      <c r="AP326">
        <v>0</v>
      </c>
      <c r="AQ326">
        <v>0</v>
      </c>
      <c r="AR326">
        <v>0</v>
      </c>
      <c r="AS326" t="s">
        <v>3</v>
      </c>
      <c r="AT326">
        <v>0.1</v>
      </c>
      <c r="AU326" t="s">
        <v>3</v>
      </c>
      <c r="AV326">
        <v>0</v>
      </c>
      <c r="AW326">
        <v>2</v>
      </c>
      <c r="AX326">
        <v>48372452</v>
      </c>
      <c r="AY326">
        <v>1</v>
      </c>
      <c r="AZ326">
        <v>0</v>
      </c>
      <c r="BA326">
        <v>327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CX326">
        <f>Y326*Source!I160</f>
        <v>2.8400000000000005E-3</v>
      </c>
      <c r="CY326">
        <f>AA326</f>
        <v>2960.58</v>
      </c>
      <c r="CZ326">
        <f>AE326</f>
        <v>399</v>
      </c>
      <c r="DA326">
        <f>AI326</f>
        <v>7.42</v>
      </c>
      <c r="DB326">
        <v>0</v>
      </c>
    </row>
    <row r="327" spans="1:106">
      <c r="A327">
        <f>ROW(Source!A160)</f>
        <v>160</v>
      </c>
      <c r="B327">
        <v>48370320</v>
      </c>
      <c r="C327">
        <v>48372448</v>
      </c>
      <c r="D327">
        <v>37768069</v>
      </c>
      <c r="E327">
        <v>1</v>
      </c>
      <c r="F327">
        <v>1</v>
      </c>
      <c r="G327">
        <v>1</v>
      </c>
      <c r="H327">
        <v>3</v>
      </c>
      <c r="I327" t="s">
        <v>899</v>
      </c>
      <c r="J327" t="s">
        <v>900</v>
      </c>
      <c r="K327" t="s">
        <v>901</v>
      </c>
      <c r="L327">
        <v>1339</v>
      </c>
      <c r="N327">
        <v>1007</v>
      </c>
      <c r="O327" t="s">
        <v>543</v>
      </c>
      <c r="P327" t="s">
        <v>543</v>
      </c>
      <c r="Q327">
        <v>1</v>
      </c>
      <c r="W327">
        <v>0</v>
      </c>
      <c r="X327">
        <v>-1825535762</v>
      </c>
      <c r="Y327">
        <v>4.3</v>
      </c>
      <c r="AA327">
        <v>2934.85</v>
      </c>
      <c r="AB327">
        <v>0</v>
      </c>
      <c r="AC327">
        <v>0</v>
      </c>
      <c r="AD327">
        <v>0</v>
      </c>
      <c r="AE327">
        <v>395</v>
      </c>
      <c r="AF327">
        <v>0</v>
      </c>
      <c r="AG327">
        <v>0</v>
      </c>
      <c r="AH327">
        <v>0</v>
      </c>
      <c r="AI327">
        <v>7.43</v>
      </c>
      <c r="AJ327">
        <v>1</v>
      </c>
      <c r="AK327">
        <v>1</v>
      </c>
      <c r="AL327">
        <v>1</v>
      </c>
      <c r="AN327">
        <v>0</v>
      </c>
      <c r="AO327">
        <v>1</v>
      </c>
      <c r="AP327">
        <v>0</v>
      </c>
      <c r="AQ327">
        <v>0</v>
      </c>
      <c r="AR327">
        <v>0</v>
      </c>
      <c r="AS327" t="s">
        <v>3</v>
      </c>
      <c r="AT327">
        <v>4.3</v>
      </c>
      <c r="AU327" t="s">
        <v>3</v>
      </c>
      <c r="AV327">
        <v>0</v>
      </c>
      <c r="AW327">
        <v>2</v>
      </c>
      <c r="AX327">
        <v>48372453</v>
      </c>
      <c r="AY327">
        <v>1</v>
      </c>
      <c r="AZ327">
        <v>0</v>
      </c>
      <c r="BA327">
        <v>328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CX327">
        <f>Y327*Source!I160</f>
        <v>0.12212000000000001</v>
      </c>
      <c r="CY327">
        <f>AA327</f>
        <v>2934.85</v>
      </c>
      <c r="CZ327">
        <f>AE327</f>
        <v>395</v>
      </c>
      <c r="DA327">
        <f>AI327</f>
        <v>7.43</v>
      </c>
      <c r="DB327">
        <v>0</v>
      </c>
    </row>
    <row r="328" spans="1:106">
      <c r="A328">
        <f>ROW(Source!A161)</f>
        <v>161</v>
      </c>
      <c r="B328">
        <v>48370320</v>
      </c>
      <c r="C328">
        <v>48372593</v>
      </c>
      <c r="D328">
        <v>23129487</v>
      </c>
      <c r="E328">
        <v>1</v>
      </c>
      <c r="F328">
        <v>1</v>
      </c>
      <c r="G328">
        <v>1</v>
      </c>
      <c r="H328">
        <v>1</v>
      </c>
      <c r="I328" t="s">
        <v>631</v>
      </c>
      <c r="J328" t="s">
        <v>3</v>
      </c>
      <c r="K328" t="s">
        <v>632</v>
      </c>
      <c r="L328">
        <v>1369</v>
      </c>
      <c r="N328">
        <v>1013</v>
      </c>
      <c r="O328" t="s">
        <v>510</v>
      </c>
      <c r="P328" t="s">
        <v>510</v>
      </c>
      <c r="Q328">
        <v>1</v>
      </c>
      <c r="W328">
        <v>0</v>
      </c>
      <c r="X328">
        <v>2002501603</v>
      </c>
      <c r="Y328">
        <v>81.649999999999991</v>
      </c>
      <c r="AA328">
        <v>0</v>
      </c>
      <c r="AB328">
        <v>0</v>
      </c>
      <c r="AC328">
        <v>0</v>
      </c>
      <c r="AD328">
        <v>8.48</v>
      </c>
      <c r="AE328">
        <v>0</v>
      </c>
      <c r="AF328">
        <v>0</v>
      </c>
      <c r="AG328">
        <v>0</v>
      </c>
      <c r="AH328">
        <v>8.48</v>
      </c>
      <c r="AI328">
        <v>1</v>
      </c>
      <c r="AJ328">
        <v>1</v>
      </c>
      <c r="AK328">
        <v>1</v>
      </c>
      <c r="AL328">
        <v>1</v>
      </c>
      <c r="AN328">
        <v>0</v>
      </c>
      <c r="AO328">
        <v>1</v>
      </c>
      <c r="AP328">
        <v>1</v>
      </c>
      <c r="AQ328">
        <v>0</v>
      </c>
      <c r="AR328">
        <v>0</v>
      </c>
      <c r="AS328" t="s">
        <v>3</v>
      </c>
      <c r="AT328">
        <v>71</v>
      </c>
      <c r="AU328" t="s">
        <v>161</v>
      </c>
      <c r="AV328">
        <v>1</v>
      </c>
      <c r="AW328">
        <v>2</v>
      </c>
      <c r="AX328">
        <v>48372612</v>
      </c>
      <c r="AY328">
        <v>1</v>
      </c>
      <c r="AZ328">
        <v>0</v>
      </c>
      <c r="BA328">
        <v>329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CX328">
        <f>Y328*Source!I161</f>
        <v>1.2247499999999998</v>
      </c>
      <c r="CY328">
        <f>AD328</f>
        <v>8.48</v>
      </c>
      <c r="CZ328">
        <f>AH328</f>
        <v>8.48</v>
      </c>
      <c r="DA328">
        <f>AL328</f>
        <v>1</v>
      </c>
      <c r="DB328">
        <v>0</v>
      </c>
    </row>
    <row r="329" spans="1:106">
      <c r="A329">
        <f>ROW(Source!A161)</f>
        <v>161</v>
      </c>
      <c r="B329">
        <v>48370320</v>
      </c>
      <c r="C329">
        <v>48372593</v>
      </c>
      <c r="D329">
        <v>37803303</v>
      </c>
      <c r="E329">
        <v>1</v>
      </c>
      <c r="F329">
        <v>1</v>
      </c>
      <c r="G329">
        <v>1</v>
      </c>
      <c r="H329">
        <v>2</v>
      </c>
      <c r="I329" t="s">
        <v>804</v>
      </c>
      <c r="J329" t="s">
        <v>805</v>
      </c>
      <c r="K329" t="s">
        <v>806</v>
      </c>
      <c r="L329">
        <v>1368</v>
      </c>
      <c r="N329">
        <v>1011</v>
      </c>
      <c r="O329" t="s">
        <v>516</v>
      </c>
      <c r="P329" t="s">
        <v>516</v>
      </c>
      <c r="Q329">
        <v>1</v>
      </c>
      <c r="W329">
        <v>0</v>
      </c>
      <c r="X329">
        <v>325281995</v>
      </c>
      <c r="Y329">
        <v>1.9375</v>
      </c>
      <c r="AA329">
        <v>0</v>
      </c>
      <c r="AB329">
        <v>12</v>
      </c>
      <c r="AC329">
        <v>0</v>
      </c>
      <c r="AD329">
        <v>0</v>
      </c>
      <c r="AE329">
        <v>0</v>
      </c>
      <c r="AF329">
        <v>1.98</v>
      </c>
      <c r="AG329">
        <v>0</v>
      </c>
      <c r="AH329">
        <v>0</v>
      </c>
      <c r="AI329">
        <v>1</v>
      </c>
      <c r="AJ329">
        <v>6.06</v>
      </c>
      <c r="AK329">
        <v>20.88</v>
      </c>
      <c r="AL329">
        <v>1</v>
      </c>
      <c r="AN329">
        <v>0</v>
      </c>
      <c r="AO329">
        <v>1</v>
      </c>
      <c r="AP329">
        <v>1</v>
      </c>
      <c r="AQ329">
        <v>0</v>
      </c>
      <c r="AR329">
        <v>0</v>
      </c>
      <c r="AS329" t="s">
        <v>3</v>
      </c>
      <c r="AT329">
        <v>1.55</v>
      </c>
      <c r="AU329" t="s">
        <v>160</v>
      </c>
      <c r="AV329">
        <v>0</v>
      </c>
      <c r="AW329">
        <v>2</v>
      </c>
      <c r="AX329">
        <v>48372613</v>
      </c>
      <c r="AY329">
        <v>1</v>
      </c>
      <c r="AZ329">
        <v>0</v>
      </c>
      <c r="BA329">
        <v>330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CX329">
        <f>Y329*Source!I161</f>
        <v>2.9062499999999998E-2</v>
      </c>
      <c r="CY329">
        <f>AB329</f>
        <v>12</v>
      </c>
      <c r="CZ329">
        <f>AF329</f>
        <v>1.98</v>
      </c>
      <c r="DA329">
        <f>AJ329</f>
        <v>6.06</v>
      </c>
      <c r="DB329">
        <v>0</v>
      </c>
    </row>
    <row r="330" spans="1:106">
      <c r="A330">
        <f>ROW(Source!A161)</f>
        <v>161</v>
      </c>
      <c r="B330">
        <v>48370320</v>
      </c>
      <c r="C330">
        <v>48372593</v>
      </c>
      <c r="D330">
        <v>37804098</v>
      </c>
      <c r="E330">
        <v>1</v>
      </c>
      <c r="F330">
        <v>1</v>
      </c>
      <c r="G330">
        <v>1</v>
      </c>
      <c r="H330">
        <v>2</v>
      </c>
      <c r="I330" t="s">
        <v>825</v>
      </c>
      <c r="J330" t="s">
        <v>826</v>
      </c>
      <c r="K330" t="s">
        <v>827</v>
      </c>
      <c r="L330">
        <v>1368</v>
      </c>
      <c r="N330">
        <v>1011</v>
      </c>
      <c r="O330" t="s">
        <v>516</v>
      </c>
      <c r="P330" t="s">
        <v>516</v>
      </c>
      <c r="Q330">
        <v>1</v>
      </c>
      <c r="W330">
        <v>0</v>
      </c>
      <c r="X330">
        <v>663719329</v>
      </c>
      <c r="Y330">
        <v>0.47499999999999998</v>
      </c>
      <c r="AA330">
        <v>0</v>
      </c>
      <c r="AB330">
        <v>112.94</v>
      </c>
      <c r="AC330">
        <v>0</v>
      </c>
      <c r="AD330">
        <v>0</v>
      </c>
      <c r="AE330">
        <v>0</v>
      </c>
      <c r="AF330">
        <v>37.15</v>
      </c>
      <c r="AG330">
        <v>0</v>
      </c>
      <c r="AH330">
        <v>0</v>
      </c>
      <c r="AI330">
        <v>1</v>
      </c>
      <c r="AJ330">
        <v>3.04</v>
      </c>
      <c r="AK330">
        <v>20.88</v>
      </c>
      <c r="AL330">
        <v>1</v>
      </c>
      <c r="AN330">
        <v>0</v>
      </c>
      <c r="AO330">
        <v>1</v>
      </c>
      <c r="AP330">
        <v>1</v>
      </c>
      <c r="AQ330">
        <v>0</v>
      </c>
      <c r="AR330">
        <v>0</v>
      </c>
      <c r="AS330" t="s">
        <v>3</v>
      </c>
      <c r="AT330">
        <v>0.38</v>
      </c>
      <c r="AU330" t="s">
        <v>160</v>
      </c>
      <c r="AV330">
        <v>0</v>
      </c>
      <c r="AW330">
        <v>2</v>
      </c>
      <c r="AX330">
        <v>48372614</v>
      </c>
      <c r="AY330">
        <v>1</v>
      </c>
      <c r="AZ330">
        <v>0</v>
      </c>
      <c r="BA330">
        <v>331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CX330">
        <f>Y330*Source!I161</f>
        <v>7.1249999999999994E-3</v>
      </c>
      <c r="CY330">
        <f>AB330</f>
        <v>112.94</v>
      </c>
      <c r="CZ330">
        <f>AF330</f>
        <v>37.15</v>
      </c>
      <c r="DA330">
        <f>AJ330</f>
        <v>3.04</v>
      </c>
      <c r="DB330">
        <v>0</v>
      </c>
    </row>
    <row r="331" spans="1:106">
      <c r="A331">
        <f>ROW(Source!A161)</f>
        <v>161</v>
      </c>
      <c r="B331">
        <v>48370320</v>
      </c>
      <c r="C331">
        <v>48372593</v>
      </c>
      <c r="D331">
        <v>37804136</v>
      </c>
      <c r="E331">
        <v>1</v>
      </c>
      <c r="F331">
        <v>1</v>
      </c>
      <c r="G331">
        <v>1</v>
      </c>
      <c r="H331">
        <v>2</v>
      </c>
      <c r="I331" t="s">
        <v>828</v>
      </c>
      <c r="J331" t="s">
        <v>829</v>
      </c>
      <c r="K331" t="s">
        <v>830</v>
      </c>
      <c r="L331">
        <v>1368</v>
      </c>
      <c r="N331">
        <v>1011</v>
      </c>
      <c r="O331" t="s">
        <v>516</v>
      </c>
      <c r="P331" t="s">
        <v>516</v>
      </c>
      <c r="Q331">
        <v>1</v>
      </c>
      <c r="W331">
        <v>0</v>
      </c>
      <c r="X331">
        <v>1067600123</v>
      </c>
      <c r="Y331">
        <v>0.63749999999999996</v>
      </c>
      <c r="AA331">
        <v>0</v>
      </c>
      <c r="AB331">
        <v>7.88</v>
      </c>
      <c r="AC331">
        <v>0</v>
      </c>
      <c r="AD331">
        <v>0</v>
      </c>
      <c r="AE331">
        <v>0</v>
      </c>
      <c r="AF331">
        <v>2.27</v>
      </c>
      <c r="AG331">
        <v>0</v>
      </c>
      <c r="AH331">
        <v>0</v>
      </c>
      <c r="AI331">
        <v>1</v>
      </c>
      <c r="AJ331">
        <v>3.47</v>
      </c>
      <c r="AK331">
        <v>20.88</v>
      </c>
      <c r="AL331">
        <v>1</v>
      </c>
      <c r="AN331">
        <v>0</v>
      </c>
      <c r="AO331">
        <v>1</v>
      </c>
      <c r="AP331">
        <v>1</v>
      </c>
      <c r="AQ331">
        <v>0</v>
      </c>
      <c r="AR331">
        <v>0</v>
      </c>
      <c r="AS331" t="s">
        <v>3</v>
      </c>
      <c r="AT331">
        <v>0.51</v>
      </c>
      <c r="AU331" t="s">
        <v>160</v>
      </c>
      <c r="AV331">
        <v>0</v>
      </c>
      <c r="AW331">
        <v>2</v>
      </c>
      <c r="AX331">
        <v>48372615</v>
      </c>
      <c r="AY331">
        <v>1</v>
      </c>
      <c r="AZ331">
        <v>0</v>
      </c>
      <c r="BA331">
        <v>332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CX331">
        <f>Y331*Source!I161</f>
        <v>9.5624999999999998E-3</v>
      </c>
      <c r="CY331">
        <f>AB331</f>
        <v>7.88</v>
      </c>
      <c r="CZ331">
        <f>AF331</f>
        <v>2.27</v>
      </c>
      <c r="DA331">
        <f>AJ331</f>
        <v>3.47</v>
      </c>
      <c r="DB331">
        <v>0</v>
      </c>
    </row>
    <row r="332" spans="1:106">
      <c r="A332">
        <f>ROW(Source!A161)</f>
        <v>161</v>
      </c>
      <c r="B332">
        <v>48370320</v>
      </c>
      <c r="C332">
        <v>48372593</v>
      </c>
      <c r="D332">
        <v>37730704</v>
      </c>
      <c r="E332">
        <v>1</v>
      </c>
      <c r="F332">
        <v>1</v>
      </c>
      <c r="G332">
        <v>1</v>
      </c>
      <c r="H332">
        <v>3</v>
      </c>
      <c r="I332" t="s">
        <v>831</v>
      </c>
      <c r="J332" t="s">
        <v>832</v>
      </c>
      <c r="K332" t="s">
        <v>833</v>
      </c>
      <c r="L332">
        <v>1354</v>
      </c>
      <c r="N332">
        <v>1010</v>
      </c>
      <c r="O332" t="s">
        <v>220</v>
      </c>
      <c r="P332" t="s">
        <v>220</v>
      </c>
      <c r="Q332">
        <v>1</v>
      </c>
      <c r="W332">
        <v>0</v>
      </c>
      <c r="X332">
        <v>215699639</v>
      </c>
      <c r="Y332">
        <v>7</v>
      </c>
      <c r="AA332">
        <v>81.09</v>
      </c>
      <c r="AB332">
        <v>0</v>
      </c>
      <c r="AC332">
        <v>0</v>
      </c>
      <c r="AD332">
        <v>0</v>
      </c>
      <c r="AE332">
        <v>14.03</v>
      </c>
      <c r="AF332">
        <v>0</v>
      </c>
      <c r="AG332">
        <v>0</v>
      </c>
      <c r="AH332">
        <v>0</v>
      </c>
      <c r="AI332">
        <v>5.78</v>
      </c>
      <c r="AJ332">
        <v>1</v>
      </c>
      <c r="AK332">
        <v>1</v>
      </c>
      <c r="AL332">
        <v>1</v>
      </c>
      <c r="AN332">
        <v>0</v>
      </c>
      <c r="AO332">
        <v>1</v>
      </c>
      <c r="AP332">
        <v>0</v>
      </c>
      <c r="AQ332">
        <v>0</v>
      </c>
      <c r="AR332">
        <v>0</v>
      </c>
      <c r="AS332" t="s">
        <v>3</v>
      </c>
      <c r="AT332">
        <v>7</v>
      </c>
      <c r="AU332" t="s">
        <v>3</v>
      </c>
      <c r="AV332">
        <v>0</v>
      </c>
      <c r="AW332">
        <v>2</v>
      </c>
      <c r="AX332">
        <v>48372616</v>
      </c>
      <c r="AY332">
        <v>1</v>
      </c>
      <c r="AZ332">
        <v>0</v>
      </c>
      <c r="BA332">
        <v>333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CX332">
        <f>Y332*Source!I161</f>
        <v>0.105</v>
      </c>
      <c r="CY332">
        <f t="shared" ref="CY332:CY345" si="24">AA332</f>
        <v>81.09</v>
      </c>
      <c r="CZ332">
        <f t="shared" ref="CZ332:CZ345" si="25">AE332</f>
        <v>14.03</v>
      </c>
      <c r="DA332">
        <f t="shared" ref="DA332:DA345" si="26">AI332</f>
        <v>5.78</v>
      </c>
      <c r="DB332">
        <v>0</v>
      </c>
    </row>
    <row r="333" spans="1:106">
      <c r="A333">
        <f>ROW(Source!A161)</f>
        <v>161</v>
      </c>
      <c r="B333">
        <v>48370320</v>
      </c>
      <c r="C333">
        <v>48372593</v>
      </c>
      <c r="D333">
        <v>37731527</v>
      </c>
      <c r="E333">
        <v>1</v>
      </c>
      <c r="F333">
        <v>1</v>
      </c>
      <c r="G333">
        <v>1</v>
      </c>
      <c r="H333">
        <v>3</v>
      </c>
      <c r="I333" t="s">
        <v>834</v>
      </c>
      <c r="J333" t="s">
        <v>835</v>
      </c>
      <c r="K333" t="s">
        <v>836</v>
      </c>
      <c r="L333">
        <v>1346</v>
      </c>
      <c r="N333">
        <v>1009</v>
      </c>
      <c r="O333" t="s">
        <v>172</v>
      </c>
      <c r="P333" t="s">
        <v>172</v>
      </c>
      <c r="Q333">
        <v>1</v>
      </c>
      <c r="W333">
        <v>0</v>
      </c>
      <c r="X333">
        <v>-320371379</v>
      </c>
      <c r="Y333">
        <v>10</v>
      </c>
      <c r="AA333">
        <v>58.26</v>
      </c>
      <c r="AB333">
        <v>0</v>
      </c>
      <c r="AC333">
        <v>0</v>
      </c>
      <c r="AD333">
        <v>0</v>
      </c>
      <c r="AE333">
        <v>13.27</v>
      </c>
      <c r="AF333">
        <v>0</v>
      </c>
      <c r="AG333">
        <v>0</v>
      </c>
      <c r="AH333">
        <v>0</v>
      </c>
      <c r="AI333">
        <v>4.3899999999999997</v>
      </c>
      <c r="AJ333">
        <v>1</v>
      </c>
      <c r="AK333">
        <v>1</v>
      </c>
      <c r="AL333">
        <v>1</v>
      </c>
      <c r="AN333">
        <v>0</v>
      </c>
      <c r="AO333">
        <v>1</v>
      </c>
      <c r="AP333">
        <v>0</v>
      </c>
      <c r="AQ333">
        <v>0</v>
      </c>
      <c r="AR333">
        <v>0</v>
      </c>
      <c r="AS333" t="s">
        <v>3</v>
      </c>
      <c r="AT333">
        <v>10</v>
      </c>
      <c r="AU333" t="s">
        <v>3</v>
      </c>
      <c r="AV333">
        <v>0</v>
      </c>
      <c r="AW333">
        <v>2</v>
      </c>
      <c r="AX333">
        <v>48372617</v>
      </c>
      <c r="AY333">
        <v>1</v>
      </c>
      <c r="AZ333">
        <v>0</v>
      </c>
      <c r="BA333">
        <v>334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CX333">
        <f>Y333*Source!I161</f>
        <v>0.15</v>
      </c>
      <c r="CY333">
        <f t="shared" si="24"/>
        <v>58.26</v>
      </c>
      <c r="CZ333">
        <f t="shared" si="25"/>
        <v>13.27</v>
      </c>
      <c r="DA333">
        <f t="shared" si="26"/>
        <v>4.3899999999999997</v>
      </c>
      <c r="DB333">
        <v>0</v>
      </c>
    </row>
    <row r="334" spans="1:106">
      <c r="A334">
        <f>ROW(Source!A161)</f>
        <v>161</v>
      </c>
      <c r="B334">
        <v>48370320</v>
      </c>
      <c r="C334">
        <v>48372593</v>
      </c>
      <c r="D334">
        <v>37731586</v>
      </c>
      <c r="E334">
        <v>1</v>
      </c>
      <c r="F334">
        <v>1</v>
      </c>
      <c r="G334">
        <v>1</v>
      </c>
      <c r="H334">
        <v>3</v>
      </c>
      <c r="I334" t="s">
        <v>837</v>
      </c>
      <c r="J334" t="s">
        <v>838</v>
      </c>
      <c r="K334" t="s">
        <v>839</v>
      </c>
      <c r="L334">
        <v>1346</v>
      </c>
      <c r="N334">
        <v>1009</v>
      </c>
      <c r="O334" t="s">
        <v>172</v>
      </c>
      <c r="P334" t="s">
        <v>172</v>
      </c>
      <c r="Q334">
        <v>1</v>
      </c>
      <c r="W334">
        <v>0</v>
      </c>
      <c r="X334">
        <v>763358242</v>
      </c>
      <c r="Y334">
        <v>60</v>
      </c>
      <c r="AA334">
        <v>8.0500000000000007</v>
      </c>
      <c r="AB334">
        <v>0</v>
      </c>
      <c r="AC334">
        <v>0</v>
      </c>
      <c r="AD334">
        <v>0</v>
      </c>
      <c r="AE334">
        <v>1.6</v>
      </c>
      <c r="AF334">
        <v>0</v>
      </c>
      <c r="AG334">
        <v>0</v>
      </c>
      <c r="AH334">
        <v>0</v>
      </c>
      <c r="AI334">
        <v>5.03</v>
      </c>
      <c r="AJ334">
        <v>1</v>
      </c>
      <c r="AK334">
        <v>1</v>
      </c>
      <c r="AL334">
        <v>1</v>
      </c>
      <c r="AN334">
        <v>0</v>
      </c>
      <c r="AO334">
        <v>1</v>
      </c>
      <c r="AP334">
        <v>0</v>
      </c>
      <c r="AQ334">
        <v>0</v>
      </c>
      <c r="AR334">
        <v>0</v>
      </c>
      <c r="AS334" t="s">
        <v>3</v>
      </c>
      <c r="AT334">
        <v>60</v>
      </c>
      <c r="AU334" t="s">
        <v>3</v>
      </c>
      <c r="AV334">
        <v>0</v>
      </c>
      <c r="AW334">
        <v>2</v>
      </c>
      <c r="AX334">
        <v>48372618</v>
      </c>
      <c r="AY334">
        <v>1</v>
      </c>
      <c r="AZ334">
        <v>0</v>
      </c>
      <c r="BA334">
        <v>335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CX334">
        <f>Y334*Source!I161</f>
        <v>0.89999999999999991</v>
      </c>
      <c r="CY334">
        <f t="shared" si="24"/>
        <v>8.0500000000000007</v>
      </c>
      <c r="CZ334">
        <f t="shared" si="25"/>
        <v>1.6</v>
      </c>
      <c r="DA334">
        <f t="shared" si="26"/>
        <v>5.03</v>
      </c>
      <c r="DB334">
        <v>0</v>
      </c>
    </row>
    <row r="335" spans="1:106">
      <c r="A335">
        <f>ROW(Source!A161)</f>
        <v>161</v>
      </c>
      <c r="B335">
        <v>48370320</v>
      </c>
      <c r="C335">
        <v>48372593</v>
      </c>
      <c r="D335">
        <v>37731904</v>
      </c>
      <c r="E335">
        <v>1</v>
      </c>
      <c r="F335">
        <v>1</v>
      </c>
      <c r="G335">
        <v>1</v>
      </c>
      <c r="H335">
        <v>3</v>
      </c>
      <c r="I335" t="s">
        <v>840</v>
      </c>
      <c r="J335" t="s">
        <v>841</v>
      </c>
      <c r="K335" t="s">
        <v>842</v>
      </c>
      <c r="L335">
        <v>1346</v>
      </c>
      <c r="N335">
        <v>1009</v>
      </c>
      <c r="O335" t="s">
        <v>172</v>
      </c>
      <c r="P335" t="s">
        <v>172</v>
      </c>
      <c r="Q335">
        <v>1</v>
      </c>
      <c r="W335">
        <v>0</v>
      </c>
      <c r="X335">
        <v>-700192894</v>
      </c>
      <c r="Y335">
        <v>4</v>
      </c>
      <c r="AA335">
        <v>43.07</v>
      </c>
      <c r="AB335">
        <v>0</v>
      </c>
      <c r="AC335">
        <v>0</v>
      </c>
      <c r="AD335">
        <v>0</v>
      </c>
      <c r="AE335">
        <v>7.57</v>
      </c>
      <c r="AF335">
        <v>0</v>
      </c>
      <c r="AG335">
        <v>0</v>
      </c>
      <c r="AH335">
        <v>0</v>
      </c>
      <c r="AI335">
        <v>5.69</v>
      </c>
      <c r="AJ335">
        <v>1</v>
      </c>
      <c r="AK335">
        <v>1</v>
      </c>
      <c r="AL335">
        <v>1</v>
      </c>
      <c r="AN335">
        <v>0</v>
      </c>
      <c r="AO335">
        <v>1</v>
      </c>
      <c r="AP335">
        <v>0</v>
      </c>
      <c r="AQ335">
        <v>0</v>
      </c>
      <c r="AR335">
        <v>0</v>
      </c>
      <c r="AS335" t="s">
        <v>3</v>
      </c>
      <c r="AT335">
        <v>4</v>
      </c>
      <c r="AU335" t="s">
        <v>3</v>
      </c>
      <c r="AV335">
        <v>0</v>
      </c>
      <c r="AW335">
        <v>2</v>
      </c>
      <c r="AX335">
        <v>48372619</v>
      </c>
      <c r="AY335">
        <v>1</v>
      </c>
      <c r="AZ335">
        <v>0</v>
      </c>
      <c r="BA335">
        <v>336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CX335">
        <f>Y335*Source!I161</f>
        <v>0.06</v>
      </c>
      <c r="CY335">
        <f t="shared" si="24"/>
        <v>43.07</v>
      </c>
      <c r="CZ335">
        <f t="shared" si="25"/>
        <v>7.57</v>
      </c>
      <c r="DA335">
        <f t="shared" si="26"/>
        <v>5.69</v>
      </c>
      <c r="DB335">
        <v>0</v>
      </c>
    </row>
    <row r="336" spans="1:106">
      <c r="A336">
        <f>ROW(Source!A161)</f>
        <v>161</v>
      </c>
      <c r="B336">
        <v>48370320</v>
      </c>
      <c r="C336">
        <v>48372593</v>
      </c>
      <c r="D336">
        <v>37731905</v>
      </c>
      <c r="E336">
        <v>1</v>
      </c>
      <c r="F336">
        <v>1</v>
      </c>
      <c r="G336">
        <v>1</v>
      </c>
      <c r="H336">
        <v>3</v>
      </c>
      <c r="I336" t="s">
        <v>843</v>
      </c>
      <c r="J336" t="s">
        <v>844</v>
      </c>
      <c r="K336" t="s">
        <v>845</v>
      </c>
      <c r="L336">
        <v>1346</v>
      </c>
      <c r="N336">
        <v>1009</v>
      </c>
      <c r="O336" t="s">
        <v>172</v>
      </c>
      <c r="P336" t="s">
        <v>172</v>
      </c>
      <c r="Q336">
        <v>1</v>
      </c>
      <c r="W336">
        <v>0</v>
      </c>
      <c r="X336">
        <v>-1500162850</v>
      </c>
      <c r="Y336">
        <v>37</v>
      </c>
      <c r="AA336">
        <v>15.73</v>
      </c>
      <c r="AB336">
        <v>0</v>
      </c>
      <c r="AC336">
        <v>0</v>
      </c>
      <c r="AD336">
        <v>0</v>
      </c>
      <c r="AE336">
        <v>2.74</v>
      </c>
      <c r="AF336">
        <v>0</v>
      </c>
      <c r="AG336">
        <v>0</v>
      </c>
      <c r="AH336">
        <v>0</v>
      </c>
      <c r="AI336">
        <v>5.74</v>
      </c>
      <c r="AJ336">
        <v>1</v>
      </c>
      <c r="AK336">
        <v>1</v>
      </c>
      <c r="AL336">
        <v>1</v>
      </c>
      <c r="AN336">
        <v>0</v>
      </c>
      <c r="AO336">
        <v>1</v>
      </c>
      <c r="AP336">
        <v>0</v>
      </c>
      <c r="AQ336">
        <v>0</v>
      </c>
      <c r="AR336">
        <v>0</v>
      </c>
      <c r="AS336" t="s">
        <v>3</v>
      </c>
      <c r="AT336">
        <v>37</v>
      </c>
      <c r="AU336" t="s">
        <v>3</v>
      </c>
      <c r="AV336">
        <v>0</v>
      </c>
      <c r="AW336">
        <v>2</v>
      </c>
      <c r="AX336">
        <v>48372620</v>
      </c>
      <c r="AY336">
        <v>1</v>
      </c>
      <c r="AZ336">
        <v>0</v>
      </c>
      <c r="BA336">
        <v>337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CX336">
        <f>Y336*Source!I161</f>
        <v>0.55499999999999994</v>
      </c>
      <c r="CY336">
        <f t="shared" si="24"/>
        <v>15.73</v>
      </c>
      <c r="CZ336">
        <f t="shared" si="25"/>
        <v>2.74</v>
      </c>
      <c r="DA336">
        <f t="shared" si="26"/>
        <v>5.74</v>
      </c>
      <c r="DB336">
        <v>0</v>
      </c>
    </row>
    <row r="337" spans="1:106">
      <c r="A337">
        <f>ROW(Source!A161)</f>
        <v>161</v>
      </c>
      <c r="B337">
        <v>48370320</v>
      </c>
      <c r="C337">
        <v>48372593</v>
      </c>
      <c r="D337">
        <v>37732902</v>
      </c>
      <c r="E337">
        <v>1</v>
      </c>
      <c r="F337">
        <v>1</v>
      </c>
      <c r="G337">
        <v>1</v>
      </c>
      <c r="H337">
        <v>3</v>
      </c>
      <c r="I337" t="s">
        <v>846</v>
      </c>
      <c r="J337" t="s">
        <v>847</v>
      </c>
      <c r="K337" t="s">
        <v>848</v>
      </c>
      <c r="L337">
        <v>1301</v>
      </c>
      <c r="N337">
        <v>1003</v>
      </c>
      <c r="O337" t="s">
        <v>208</v>
      </c>
      <c r="P337" t="s">
        <v>208</v>
      </c>
      <c r="Q337">
        <v>1</v>
      </c>
      <c r="W337">
        <v>0</v>
      </c>
      <c r="X337">
        <v>-160791851</v>
      </c>
      <c r="Y337">
        <v>83</v>
      </c>
      <c r="AA337">
        <v>1.58</v>
      </c>
      <c r="AB337">
        <v>0</v>
      </c>
      <c r="AC337">
        <v>0</v>
      </c>
      <c r="AD337">
        <v>0</v>
      </c>
      <c r="AE337">
        <v>0.17</v>
      </c>
      <c r="AF337">
        <v>0</v>
      </c>
      <c r="AG337">
        <v>0</v>
      </c>
      <c r="AH337">
        <v>0</v>
      </c>
      <c r="AI337">
        <v>9.2899999999999991</v>
      </c>
      <c r="AJ337">
        <v>1</v>
      </c>
      <c r="AK337">
        <v>1</v>
      </c>
      <c r="AL337">
        <v>1</v>
      </c>
      <c r="AN337">
        <v>0</v>
      </c>
      <c r="AO337">
        <v>1</v>
      </c>
      <c r="AP337">
        <v>0</v>
      </c>
      <c r="AQ337">
        <v>0</v>
      </c>
      <c r="AR337">
        <v>0</v>
      </c>
      <c r="AS337" t="s">
        <v>3</v>
      </c>
      <c r="AT337">
        <v>83</v>
      </c>
      <c r="AU337" t="s">
        <v>3</v>
      </c>
      <c r="AV337">
        <v>0</v>
      </c>
      <c r="AW337">
        <v>2</v>
      </c>
      <c r="AX337">
        <v>48372621</v>
      </c>
      <c r="AY337">
        <v>1</v>
      </c>
      <c r="AZ337">
        <v>0</v>
      </c>
      <c r="BA337">
        <v>338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CX337">
        <f>Y337*Source!I161</f>
        <v>1.2449999999999999</v>
      </c>
      <c r="CY337">
        <f t="shared" si="24"/>
        <v>1.58</v>
      </c>
      <c r="CZ337">
        <f t="shared" si="25"/>
        <v>0.17</v>
      </c>
      <c r="DA337">
        <f t="shared" si="26"/>
        <v>9.2899999999999991</v>
      </c>
      <c r="DB337">
        <v>0</v>
      </c>
    </row>
    <row r="338" spans="1:106">
      <c r="A338">
        <f>ROW(Source!A161)</f>
        <v>161</v>
      </c>
      <c r="B338">
        <v>48370320</v>
      </c>
      <c r="C338">
        <v>48372593</v>
      </c>
      <c r="D338">
        <v>37733005</v>
      </c>
      <c r="E338">
        <v>1</v>
      </c>
      <c r="F338">
        <v>1</v>
      </c>
      <c r="G338">
        <v>1</v>
      </c>
      <c r="H338">
        <v>3</v>
      </c>
      <c r="I338" t="s">
        <v>849</v>
      </c>
      <c r="J338" t="s">
        <v>850</v>
      </c>
      <c r="K338" t="s">
        <v>851</v>
      </c>
      <c r="L338">
        <v>1301</v>
      </c>
      <c r="N338">
        <v>1003</v>
      </c>
      <c r="O338" t="s">
        <v>208</v>
      </c>
      <c r="P338" t="s">
        <v>208</v>
      </c>
      <c r="Q338">
        <v>1</v>
      </c>
      <c r="W338">
        <v>0</v>
      </c>
      <c r="X338">
        <v>-447968975</v>
      </c>
      <c r="Y338">
        <v>82</v>
      </c>
      <c r="AA338">
        <v>10.7</v>
      </c>
      <c r="AB338">
        <v>0</v>
      </c>
      <c r="AC338">
        <v>0</v>
      </c>
      <c r="AD338">
        <v>0</v>
      </c>
      <c r="AE338">
        <v>1.76</v>
      </c>
      <c r="AF338">
        <v>0</v>
      </c>
      <c r="AG338">
        <v>0</v>
      </c>
      <c r="AH338">
        <v>0</v>
      </c>
      <c r="AI338">
        <v>6.08</v>
      </c>
      <c r="AJ338">
        <v>1</v>
      </c>
      <c r="AK338">
        <v>1</v>
      </c>
      <c r="AL338">
        <v>1</v>
      </c>
      <c r="AN338">
        <v>0</v>
      </c>
      <c r="AO338">
        <v>1</v>
      </c>
      <c r="AP338">
        <v>0</v>
      </c>
      <c r="AQ338">
        <v>0</v>
      </c>
      <c r="AR338">
        <v>0</v>
      </c>
      <c r="AS338" t="s">
        <v>3</v>
      </c>
      <c r="AT338">
        <v>82</v>
      </c>
      <c r="AU338" t="s">
        <v>3</v>
      </c>
      <c r="AV338">
        <v>0</v>
      </c>
      <c r="AW338">
        <v>2</v>
      </c>
      <c r="AX338">
        <v>48372622</v>
      </c>
      <c r="AY338">
        <v>1</v>
      </c>
      <c r="AZ338">
        <v>0</v>
      </c>
      <c r="BA338">
        <v>339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CX338">
        <f>Y338*Source!I161</f>
        <v>1.23</v>
      </c>
      <c r="CY338">
        <f t="shared" si="24"/>
        <v>10.7</v>
      </c>
      <c r="CZ338">
        <f t="shared" si="25"/>
        <v>1.76</v>
      </c>
      <c r="DA338">
        <f t="shared" si="26"/>
        <v>6.08</v>
      </c>
      <c r="DB338">
        <v>0</v>
      </c>
    </row>
    <row r="339" spans="1:106">
      <c r="A339">
        <f>ROW(Source!A161)</f>
        <v>161</v>
      </c>
      <c r="B339">
        <v>48370320</v>
      </c>
      <c r="C339">
        <v>48372593</v>
      </c>
      <c r="D339">
        <v>37733020</v>
      </c>
      <c r="E339">
        <v>1</v>
      </c>
      <c r="F339">
        <v>1</v>
      </c>
      <c r="G339">
        <v>1</v>
      </c>
      <c r="H339">
        <v>3</v>
      </c>
      <c r="I339" t="s">
        <v>852</v>
      </c>
      <c r="J339" t="s">
        <v>853</v>
      </c>
      <c r="K339" t="s">
        <v>854</v>
      </c>
      <c r="L339">
        <v>1301</v>
      </c>
      <c r="N339">
        <v>1003</v>
      </c>
      <c r="O339" t="s">
        <v>208</v>
      </c>
      <c r="P339" t="s">
        <v>208</v>
      </c>
      <c r="Q339">
        <v>1</v>
      </c>
      <c r="W339">
        <v>0</v>
      </c>
      <c r="X339">
        <v>-920645879</v>
      </c>
      <c r="Y339">
        <v>116</v>
      </c>
      <c r="AA339">
        <v>5.66</v>
      </c>
      <c r="AB339">
        <v>0</v>
      </c>
      <c r="AC339">
        <v>0</v>
      </c>
      <c r="AD339">
        <v>0</v>
      </c>
      <c r="AE339">
        <v>0.85</v>
      </c>
      <c r="AF339">
        <v>0</v>
      </c>
      <c r="AG339">
        <v>0</v>
      </c>
      <c r="AH339">
        <v>0</v>
      </c>
      <c r="AI339">
        <v>6.66</v>
      </c>
      <c r="AJ339">
        <v>1</v>
      </c>
      <c r="AK339">
        <v>1</v>
      </c>
      <c r="AL339">
        <v>1</v>
      </c>
      <c r="AN339">
        <v>0</v>
      </c>
      <c r="AO339">
        <v>1</v>
      </c>
      <c r="AP339">
        <v>0</v>
      </c>
      <c r="AQ339">
        <v>0</v>
      </c>
      <c r="AR339">
        <v>0</v>
      </c>
      <c r="AS339" t="s">
        <v>3</v>
      </c>
      <c r="AT339">
        <v>116</v>
      </c>
      <c r="AU339" t="s">
        <v>3</v>
      </c>
      <c r="AV339">
        <v>0</v>
      </c>
      <c r="AW339">
        <v>2</v>
      </c>
      <c r="AX339">
        <v>48372623</v>
      </c>
      <c r="AY339">
        <v>1</v>
      </c>
      <c r="AZ339">
        <v>0</v>
      </c>
      <c r="BA339">
        <v>340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CX339">
        <f>Y339*Source!I161</f>
        <v>1.74</v>
      </c>
      <c r="CY339">
        <f t="shared" si="24"/>
        <v>5.66</v>
      </c>
      <c r="CZ339">
        <f t="shared" si="25"/>
        <v>0.85</v>
      </c>
      <c r="DA339">
        <f t="shared" si="26"/>
        <v>6.66</v>
      </c>
      <c r="DB339">
        <v>0</v>
      </c>
    </row>
    <row r="340" spans="1:106">
      <c r="A340">
        <f>ROW(Source!A161)</f>
        <v>161</v>
      </c>
      <c r="B340">
        <v>48370320</v>
      </c>
      <c r="C340">
        <v>48372593</v>
      </c>
      <c r="D340">
        <v>37733783</v>
      </c>
      <c r="E340">
        <v>1</v>
      </c>
      <c r="F340">
        <v>1</v>
      </c>
      <c r="G340">
        <v>1</v>
      </c>
      <c r="H340">
        <v>3</v>
      </c>
      <c r="I340" t="s">
        <v>855</v>
      </c>
      <c r="J340" t="s">
        <v>856</v>
      </c>
      <c r="K340" t="s">
        <v>857</v>
      </c>
      <c r="L340">
        <v>1327</v>
      </c>
      <c r="N340">
        <v>1005</v>
      </c>
      <c r="O340" t="s">
        <v>189</v>
      </c>
      <c r="P340" t="s">
        <v>189</v>
      </c>
      <c r="Q340">
        <v>1</v>
      </c>
      <c r="W340">
        <v>0</v>
      </c>
      <c r="X340">
        <v>-365485542</v>
      </c>
      <c r="Y340">
        <v>107</v>
      </c>
      <c r="AA340">
        <v>71.89</v>
      </c>
      <c r="AB340">
        <v>0</v>
      </c>
      <c r="AC340">
        <v>0</v>
      </c>
      <c r="AD340">
        <v>0</v>
      </c>
      <c r="AE340">
        <v>15.23</v>
      </c>
      <c r="AF340">
        <v>0</v>
      </c>
      <c r="AG340">
        <v>0</v>
      </c>
      <c r="AH340">
        <v>0</v>
      </c>
      <c r="AI340">
        <v>4.72</v>
      </c>
      <c r="AJ340">
        <v>1</v>
      </c>
      <c r="AK340">
        <v>1</v>
      </c>
      <c r="AL340">
        <v>1</v>
      </c>
      <c r="AN340">
        <v>0</v>
      </c>
      <c r="AO340">
        <v>1</v>
      </c>
      <c r="AP340">
        <v>0</v>
      </c>
      <c r="AQ340">
        <v>0</v>
      </c>
      <c r="AR340">
        <v>0</v>
      </c>
      <c r="AS340" t="s">
        <v>3</v>
      </c>
      <c r="AT340">
        <v>107</v>
      </c>
      <c r="AU340" t="s">
        <v>3</v>
      </c>
      <c r="AV340">
        <v>0</v>
      </c>
      <c r="AW340">
        <v>2</v>
      </c>
      <c r="AX340">
        <v>48372624</v>
      </c>
      <c r="AY340">
        <v>1</v>
      </c>
      <c r="AZ340">
        <v>0</v>
      </c>
      <c r="BA340">
        <v>341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CX340">
        <f>Y340*Source!I161</f>
        <v>1.605</v>
      </c>
      <c r="CY340">
        <f t="shared" si="24"/>
        <v>71.89</v>
      </c>
      <c r="CZ340">
        <f t="shared" si="25"/>
        <v>15.23</v>
      </c>
      <c r="DA340">
        <f t="shared" si="26"/>
        <v>4.72</v>
      </c>
      <c r="DB340">
        <v>0</v>
      </c>
    </row>
    <row r="341" spans="1:106">
      <c r="A341">
        <f>ROW(Source!A161)</f>
        <v>161</v>
      </c>
      <c r="B341">
        <v>48370320</v>
      </c>
      <c r="C341">
        <v>48372593</v>
      </c>
      <c r="D341">
        <v>37737327</v>
      </c>
      <c r="E341">
        <v>1</v>
      </c>
      <c r="F341">
        <v>1</v>
      </c>
      <c r="G341">
        <v>1</v>
      </c>
      <c r="H341">
        <v>3</v>
      </c>
      <c r="I341" t="s">
        <v>858</v>
      </c>
      <c r="J341" t="s">
        <v>859</v>
      </c>
      <c r="K341" t="s">
        <v>860</v>
      </c>
      <c r="L341">
        <v>1354</v>
      </c>
      <c r="N341">
        <v>1010</v>
      </c>
      <c r="O341" t="s">
        <v>220</v>
      </c>
      <c r="P341" t="s">
        <v>220</v>
      </c>
      <c r="Q341">
        <v>1</v>
      </c>
      <c r="W341">
        <v>0</v>
      </c>
      <c r="X341">
        <v>-116111372</v>
      </c>
      <c r="Y341">
        <v>1855</v>
      </c>
      <c r="AA341">
        <v>0.17</v>
      </c>
      <c r="AB341">
        <v>0</v>
      </c>
      <c r="AC341">
        <v>0</v>
      </c>
      <c r="AD341">
        <v>0</v>
      </c>
      <c r="AE341">
        <v>0.02</v>
      </c>
      <c r="AF341">
        <v>0</v>
      </c>
      <c r="AG341">
        <v>0</v>
      </c>
      <c r="AH341">
        <v>0</v>
      </c>
      <c r="AI341">
        <v>8.5</v>
      </c>
      <c r="AJ341">
        <v>1</v>
      </c>
      <c r="AK341">
        <v>1</v>
      </c>
      <c r="AL341">
        <v>1</v>
      </c>
      <c r="AN341">
        <v>0</v>
      </c>
      <c r="AO341">
        <v>1</v>
      </c>
      <c r="AP341">
        <v>0</v>
      </c>
      <c r="AQ341">
        <v>0</v>
      </c>
      <c r="AR341">
        <v>0</v>
      </c>
      <c r="AS341" t="s">
        <v>3</v>
      </c>
      <c r="AT341">
        <v>1855</v>
      </c>
      <c r="AU341" t="s">
        <v>3</v>
      </c>
      <c r="AV341">
        <v>0</v>
      </c>
      <c r="AW341">
        <v>2</v>
      </c>
      <c r="AX341">
        <v>48372625</v>
      </c>
      <c r="AY341">
        <v>1</v>
      </c>
      <c r="AZ341">
        <v>0</v>
      </c>
      <c r="BA341">
        <v>342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CX341">
        <f>Y341*Source!I161</f>
        <v>27.824999999999999</v>
      </c>
      <c r="CY341">
        <f t="shared" si="24"/>
        <v>0.17</v>
      </c>
      <c r="CZ341">
        <f t="shared" si="25"/>
        <v>0.02</v>
      </c>
      <c r="DA341">
        <f t="shared" si="26"/>
        <v>8.5</v>
      </c>
      <c r="DB341">
        <v>0</v>
      </c>
    </row>
    <row r="342" spans="1:106">
      <c r="A342">
        <f>ROW(Source!A161)</f>
        <v>161</v>
      </c>
      <c r="B342">
        <v>48370320</v>
      </c>
      <c r="C342">
        <v>48372593</v>
      </c>
      <c r="D342">
        <v>37737073</v>
      </c>
      <c r="E342">
        <v>1</v>
      </c>
      <c r="F342">
        <v>1</v>
      </c>
      <c r="G342">
        <v>1</v>
      </c>
      <c r="H342">
        <v>3</v>
      </c>
      <c r="I342" t="s">
        <v>861</v>
      </c>
      <c r="J342" t="s">
        <v>862</v>
      </c>
      <c r="K342" t="s">
        <v>863</v>
      </c>
      <c r="L342">
        <v>1354</v>
      </c>
      <c r="N342">
        <v>1010</v>
      </c>
      <c r="O342" t="s">
        <v>220</v>
      </c>
      <c r="P342" t="s">
        <v>220</v>
      </c>
      <c r="Q342">
        <v>1</v>
      </c>
      <c r="W342">
        <v>0</v>
      </c>
      <c r="X342">
        <v>-874589009</v>
      </c>
      <c r="Y342">
        <v>153</v>
      </c>
      <c r="AA342">
        <v>0.56999999999999995</v>
      </c>
      <c r="AB342">
        <v>0</v>
      </c>
      <c r="AC342">
        <v>0</v>
      </c>
      <c r="AD342">
        <v>0</v>
      </c>
      <c r="AE342">
        <v>0.08</v>
      </c>
      <c r="AF342">
        <v>0</v>
      </c>
      <c r="AG342">
        <v>0</v>
      </c>
      <c r="AH342">
        <v>0</v>
      </c>
      <c r="AI342">
        <v>7.13</v>
      </c>
      <c r="AJ342">
        <v>1</v>
      </c>
      <c r="AK342">
        <v>1</v>
      </c>
      <c r="AL342">
        <v>1</v>
      </c>
      <c r="AN342">
        <v>0</v>
      </c>
      <c r="AO342">
        <v>1</v>
      </c>
      <c r="AP342">
        <v>0</v>
      </c>
      <c r="AQ342">
        <v>0</v>
      </c>
      <c r="AR342">
        <v>0</v>
      </c>
      <c r="AS342" t="s">
        <v>3</v>
      </c>
      <c r="AT342">
        <v>153</v>
      </c>
      <c r="AU342" t="s">
        <v>3</v>
      </c>
      <c r="AV342">
        <v>0</v>
      </c>
      <c r="AW342">
        <v>2</v>
      </c>
      <c r="AX342">
        <v>48372626</v>
      </c>
      <c r="AY342">
        <v>1</v>
      </c>
      <c r="AZ342">
        <v>0</v>
      </c>
      <c r="BA342">
        <v>343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CX342">
        <f>Y342*Source!I161</f>
        <v>2.2949999999999999</v>
      </c>
      <c r="CY342">
        <f t="shared" si="24"/>
        <v>0.56999999999999995</v>
      </c>
      <c r="CZ342">
        <f t="shared" si="25"/>
        <v>0.08</v>
      </c>
      <c r="DA342">
        <f t="shared" si="26"/>
        <v>7.13</v>
      </c>
      <c r="DB342">
        <v>0</v>
      </c>
    </row>
    <row r="343" spans="1:106">
      <c r="A343">
        <f>ROW(Source!A161)</f>
        <v>161</v>
      </c>
      <c r="B343">
        <v>48370320</v>
      </c>
      <c r="C343">
        <v>48372593</v>
      </c>
      <c r="D343">
        <v>37751559</v>
      </c>
      <c r="E343">
        <v>1</v>
      </c>
      <c r="F343">
        <v>1</v>
      </c>
      <c r="G343">
        <v>1</v>
      </c>
      <c r="H343">
        <v>3</v>
      </c>
      <c r="I343" t="s">
        <v>864</v>
      </c>
      <c r="J343" t="s">
        <v>865</v>
      </c>
      <c r="K343" t="s">
        <v>866</v>
      </c>
      <c r="L343">
        <v>1301</v>
      </c>
      <c r="N343">
        <v>1003</v>
      </c>
      <c r="O343" t="s">
        <v>208</v>
      </c>
      <c r="P343" t="s">
        <v>208</v>
      </c>
      <c r="Q343">
        <v>1</v>
      </c>
      <c r="W343">
        <v>0</v>
      </c>
      <c r="X343">
        <v>550970338</v>
      </c>
      <c r="Y343">
        <v>121</v>
      </c>
      <c r="AA343">
        <v>43.11</v>
      </c>
      <c r="AB343">
        <v>0</v>
      </c>
      <c r="AC343">
        <v>0</v>
      </c>
      <c r="AD343">
        <v>0</v>
      </c>
      <c r="AE343">
        <v>7.01</v>
      </c>
      <c r="AF343">
        <v>0</v>
      </c>
      <c r="AG343">
        <v>0</v>
      </c>
      <c r="AH343">
        <v>0</v>
      </c>
      <c r="AI343">
        <v>6.15</v>
      </c>
      <c r="AJ343">
        <v>1</v>
      </c>
      <c r="AK343">
        <v>1</v>
      </c>
      <c r="AL343">
        <v>1</v>
      </c>
      <c r="AN343">
        <v>0</v>
      </c>
      <c r="AO343">
        <v>1</v>
      </c>
      <c r="AP343">
        <v>0</v>
      </c>
      <c r="AQ343">
        <v>0</v>
      </c>
      <c r="AR343">
        <v>0</v>
      </c>
      <c r="AS343" t="s">
        <v>3</v>
      </c>
      <c r="AT343">
        <v>121</v>
      </c>
      <c r="AU343" t="s">
        <v>3</v>
      </c>
      <c r="AV343">
        <v>0</v>
      </c>
      <c r="AW343">
        <v>2</v>
      </c>
      <c r="AX343">
        <v>48372627</v>
      </c>
      <c r="AY343">
        <v>1</v>
      </c>
      <c r="AZ343">
        <v>0</v>
      </c>
      <c r="BA343">
        <v>344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CX343">
        <f>Y343*Source!I161</f>
        <v>1.8149999999999999</v>
      </c>
      <c r="CY343">
        <f t="shared" si="24"/>
        <v>43.11</v>
      </c>
      <c r="CZ343">
        <f t="shared" si="25"/>
        <v>7.01</v>
      </c>
      <c r="DA343">
        <f t="shared" si="26"/>
        <v>6.15</v>
      </c>
      <c r="DB343">
        <v>0</v>
      </c>
    </row>
    <row r="344" spans="1:106">
      <c r="A344">
        <f>ROW(Source!A161)</f>
        <v>161</v>
      </c>
      <c r="B344">
        <v>48370320</v>
      </c>
      <c r="C344">
        <v>48372593</v>
      </c>
      <c r="D344">
        <v>37751595</v>
      </c>
      <c r="E344">
        <v>1</v>
      </c>
      <c r="F344">
        <v>1</v>
      </c>
      <c r="G344">
        <v>1</v>
      </c>
      <c r="H344">
        <v>3</v>
      </c>
      <c r="I344" t="s">
        <v>867</v>
      </c>
      <c r="J344" t="s">
        <v>868</v>
      </c>
      <c r="K344" t="s">
        <v>869</v>
      </c>
      <c r="L344">
        <v>1301</v>
      </c>
      <c r="N344">
        <v>1003</v>
      </c>
      <c r="O344" t="s">
        <v>208</v>
      </c>
      <c r="P344" t="s">
        <v>208</v>
      </c>
      <c r="Q344">
        <v>1</v>
      </c>
      <c r="W344">
        <v>0</v>
      </c>
      <c r="X344">
        <v>-300833059</v>
      </c>
      <c r="Y344">
        <v>225</v>
      </c>
      <c r="AA344">
        <v>50.14</v>
      </c>
      <c r="AB344">
        <v>0</v>
      </c>
      <c r="AC344">
        <v>0</v>
      </c>
      <c r="AD344">
        <v>0</v>
      </c>
      <c r="AE344">
        <v>8.18</v>
      </c>
      <c r="AF344">
        <v>0</v>
      </c>
      <c r="AG344">
        <v>0</v>
      </c>
      <c r="AH344">
        <v>0</v>
      </c>
      <c r="AI344">
        <v>6.13</v>
      </c>
      <c r="AJ344">
        <v>1</v>
      </c>
      <c r="AK344">
        <v>1</v>
      </c>
      <c r="AL344">
        <v>1</v>
      </c>
      <c r="AN344">
        <v>0</v>
      </c>
      <c r="AO344">
        <v>1</v>
      </c>
      <c r="AP344">
        <v>0</v>
      </c>
      <c r="AQ344">
        <v>0</v>
      </c>
      <c r="AR344">
        <v>0</v>
      </c>
      <c r="AS344" t="s">
        <v>3</v>
      </c>
      <c r="AT344">
        <v>225</v>
      </c>
      <c r="AU344" t="s">
        <v>3</v>
      </c>
      <c r="AV344">
        <v>0</v>
      </c>
      <c r="AW344">
        <v>2</v>
      </c>
      <c r="AX344">
        <v>48372628</v>
      </c>
      <c r="AY344">
        <v>1</v>
      </c>
      <c r="AZ344">
        <v>0</v>
      </c>
      <c r="BA344">
        <v>345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CX344">
        <f>Y344*Source!I161</f>
        <v>3.375</v>
      </c>
      <c r="CY344">
        <f t="shared" si="24"/>
        <v>50.14</v>
      </c>
      <c r="CZ344">
        <f t="shared" si="25"/>
        <v>8.18</v>
      </c>
      <c r="DA344">
        <f t="shared" si="26"/>
        <v>6.13</v>
      </c>
      <c r="DB344">
        <v>0</v>
      </c>
    </row>
    <row r="345" spans="1:106">
      <c r="A345">
        <f>ROW(Source!A161)</f>
        <v>161</v>
      </c>
      <c r="B345">
        <v>48370320</v>
      </c>
      <c r="C345">
        <v>48372593</v>
      </c>
      <c r="D345">
        <v>37751610</v>
      </c>
      <c r="E345">
        <v>1</v>
      </c>
      <c r="F345">
        <v>1</v>
      </c>
      <c r="G345">
        <v>1</v>
      </c>
      <c r="H345">
        <v>3</v>
      </c>
      <c r="I345" t="s">
        <v>870</v>
      </c>
      <c r="J345" t="s">
        <v>871</v>
      </c>
      <c r="K345" t="s">
        <v>872</v>
      </c>
      <c r="L345">
        <v>1301</v>
      </c>
      <c r="N345">
        <v>1003</v>
      </c>
      <c r="O345" t="s">
        <v>208</v>
      </c>
      <c r="P345" t="s">
        <v>208</v>
      </c>
      <c r="Q345">
        <v>1</v>
      </c>
      <c r="W345">
        <v>0</v>
      </c>
      <c r="X345">
        <v>1564121718</v>
      </c>
      <c r="Y345">
        <v>46</v>
      </c>
      <c r="AA345">
        <v>20.28</v>
      </c>
      <c r="AB345">
        <v>0</v>
      </c>
      <c r="AC345">
        <v>0</v>
      </c>
      <c r="AD345">
        <v>0</v>
      </c>
      <c r="AE345">
        <v>3.23</v>
      </c>
      <c r="AF345">
        <v>0</v>
      </c>
      <c r="AG345">
        <v>0</v>
      </c>
      <c r="AH345">
        <v>0</v>
      </c>
      <c r="AI345">
        <v>6.28</v>
      </c>
      <c r="AJ345">
        <v>1</v>
      </c>
      <c r="AK345">
        <v>1</v>
      </c>
      <c r="AL345">
        <v>1</v>
      </c>
      <c r="AN345">
        <v>0</v>
      </c>
      <c r="AO345">
        <v>1</v>
      </c>
      <c r="AP345">
        <v>0</v>
      </c>
      <c r="AQ345">
        <v>0</v>
      </c>
      <c r="AR345">
        <v>0</v>
      </c>
      <c r="AS345" t="s">
        <v>3</v>
      </c>
      <c r="AT345">
        <v>46</v>
      </c>
      <c r="AU345" t="s">
        <v>3</v>
      </c>
      <c r="AV345">
        <v>0</v>
      </c>
      <c r="AW345">
        <v>2</v>
      </c>
      <c r="AX345">
        <v>48372629</v>
      </c>
      <c r="AY345">
        <v>1</v>
      </c>
      <c r="AZ345">
        <v>0</v>
      </c>
      <c r="BA345">
        <v>346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CX345">
        <f>Y345*Source!I161</f>
        <v>0.69</v>
      </c>
      <c r="CY345">
        <f t="shared" si="24"/>
        <v>20.28</v>
      </c>
      <c r="CZ345">
        <f t="shared" si="25"/>
        <v>3.23</v>
      </c>
      <c r="DA345">
        <f t="shared" si="26"/>
        <v>6.28</v>
      </c>
      <c r="DB345">
        <v>0</v>
      </c>
    </row>
    <row r="346" spans="1:106">
      <c r="A346">
        <f>ROW(Source!A162)</f>
        <v>162</v>
      </c>
      <c r="B346">
        <v>48370320</v>
      </c>
      <c r="C346">
        <v>48372667</v>
      </c>
      <c r="D346">
        <v>23136905</v>
      </c>
      <c r="E346">
        <v>1</v>
      </c>
      <c r="F346">
        <v>1</v>
      </c>
      <c r="G346">
        <v>1</v>
      </c>
      <c r="H346">
        <v>1</v>
      </c>
      <c r="I346" t="s">
        <v>648</v>
      </c>
      <c r="J346" t="s">
        <v>3</v>
      </c>
      <c r="K346" t="s">
        <v>649</v>
      </c>
      <c r="L346">
        <v>1369</v>
      </c>
      <c r="N346">
        <v>1013</v>
      </c>
      <c r="O346" t="s">
        <v>510</v>
      </c>
      <c r="P346" t="s">
        <v>510</v>
      </c>
      <c r="Q346">
        <v>1</v>
      </c>
      <c r="W346">
        <v>0</v>
      </c>
      <c r="X346">
        <v>1351218007</v>
      </c>
      <c r="Y346">
        <v>183.62049999999996</v>
      </c>
      <c r="AA346">
        <v>0</v>
      </c>
      <c r="AB346">
        <v>0</v>
      </c>
      <c r="AC346">
        <v>0</v>
      </c>
      <c r="AD346">
        <v>8.58</v>
      </c>
      <c r="AE346">
        <v>0</v>
      </c>
      <c r="AF346">
        <v>0</v>
      </c>
      <c r="AG346">
        <v>0</v>
      </c>
      <c r="AH346">
        <v>8.58</v>
      </c>
      <c r="AI346">
        <v>1</v>
      </c>
      <c r="AJ346">
        <v>1</v>
      </c>
      <c r="AK346">
        <v>1</v>
      </c>
      <c r="AL346">
        <v>1</v>
      </c>
      <c r="AN346">
        <v>0</v>
      </c>
      <c r="AO346">
        <v>1</v>
      </c>
      <c r="AP346">
        <v>1</v>
      </c>
      <c r="AQ346">
        <v>0</v>
      </c>
      <c r="AR346">
        <v>0</v>
      </c>
      <c r="AS346" t="s">
        <v>3</v>
      </c>
      <c r="AT346">
        <v>159.66999999999999</v>
      </c>
      <c r="AU346" t="s">
        <v>161</v>
      </c>
      <c r="AV346">
        <v>1</v>
      </c>
      <c r="AW346">
        <v>2</v>
      </c>
      <c r="AX346">
        <v>48372690</v>
      </c>
      <c r="AY346">
        <v>1</v>
      </c>
      <c r="AZ346">
        <v>0</v>
      </c>
      <c r="BA346">
        <v>347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CX346">
        <f>Y346*Source!I162</f>
        <v>3.6724099999999993</v>
      </c>
      <c r="CY346">
        <f>AD346</f>
        <v>8.58</v>
      </c>
      <c r="CZ346">
        <f>AH346</f>
        <v>8.58</v>
      </c>
      <c r="DA346">
        <f>AL346</f>
        <v>1</v>
      </c>
      <c r="DB346">
        <v>0</v>
      </c>
    </row>
    <row r="347" spans="1:106">
      <c r="A347">
        <f>ROW(Source!A162)</f>
        <v>162</v>
      </c>
      <c r="B347">
        <v>48370320</v>
      </c>
      <c r="C347">
        <v>48372667</v>
      </c>
      <c r="D347">
        <v>121548</v>
      </c>
      <c r="E347">
        <v>1</v>
      </c>
      <c r="F347">
        <v>1</v>
      </c>
      <c r="G347">
        <v>1</v>
      </c>
      <c r="H347">
        <v>1</v>
      </c>
      <c r="I347" t="s">
        <v>24</v>
      </c>
      <c r="J347" t="s">
        <v>3</v>
      </c>
      <c r="K347" t="s">
        <v>511</v>
      </c>
      <c r="L347">
        <v>608254</v>
      </c>
      <c r="N347">
        <v>1013</v>
      </c>
      <c r="O347" t="s">
        <v>512</v>
      </c>
      <c r="P347" t="s">
        <v>512</v>
      </c>
      <c r="Q347">
        <v>1</v>
      </c>
      <c r="W347">
        <v>0</v>
      </c>
      <c r="X347">
        <v>-185737400</v>
      </c>
      <c r="Y347">
        <v>2.0625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1</v>
      </c>
      <c r="AJ347">
        <v>1</v>
      </c>
      <c r="AK347">
        <v>1</v>
      </c>
      <c r="AL347">
        <v>1</v>
      </c>
      <c r="AN347">
        <v>0</v>
      </c>
      <c r="AO347">
        <v>1</v>
      </c>
      <c r="AP347">
        <v>1</v>
      </c>
      <c r="AQ347">
        <v>0</v>
      </c>
      <c r="AR347">
        <v>0</v>
      </c>
      <c r="AS347" t="s">
        <v>3</v>
      </c>
      <c r="AT347">
        <v>1.65</v>
      </c>
      <c r="AU347" t="s">
        <v>160</v>
      </c>
      <c r="AV347">
        <v>2</v>
      </c>
      <c r="AW347">
        <v>2</v>
      </c>
      <c r="AX347">
        <v>48372691</v>
      </c>
      <c r="AY347">
        <v>1</v>
      </c>
      <c r="AZ347">
        <v>0</v>
      </c>
      <c r="BA347">
        <v>348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CX347">
        <f>Y347*Source!I162</f>
        <v>4.1250000000000002E-2</v>
      </c>
      <c r="CY347">
        <f>AD347</f>
        <v>0</v>
      </c>
      <c r="CZ347">
        <f>AH347</f>
        <v>0</v>
      </c>
      <c r="DA347">
        <f>AL347</f>
        <v>1</v>
      </c>
      <c r="DB347">
        <v>0</v>
      </c>
    </row>
    <row r="348" spans="1:106">
      <c r="A348">
        <f>ROW(Source!A162)</f>
        <v>162</v>
      </c>
      <c r="B348">
        <v>48370320</v>
      </c>
      <c r="C348">
        <v>48372667</v>
      </c>
      <c r="D348">
        <v>37802515</v>
      </c>
      <c r="E348">
        <v>1</v>
      </c>
      <c r="F348">
        <v>1</v>
      </c>
      <c r="G348">
        <v>1</v>
      </c>
      <c r="H348">
        <v>2</v>
      </c>
      <c r="I348" t="s">
        <v>650</v>
      </c>
      <c r="J348" t="s">
        <v>651</v>
      </c>
      <c r="K348" t="s">
        <v>652</v>
      </c>
      <c r="L348">
        <v>1368</v>
      </c>
      <c r="N348">
        <v>1011</v>
      </c>
      <c r="O348" t="s">
        <v>516</v>
      </c>
      <c r="P348" t="s">
        <v>516</v>
      </c>
      <c r="Q348">
        <v>1</v>
      </c>
      <c r="W348">
        <v>0</v>
      </c>
      <c r="X348">
        <v>-674318163</v>
      </c>
      <c r="Y348">
        <v>0.1</v>
      </c>
      <c r="AA348">
        <v>0</v>
      </c>
      <c r="AB348">
        <v>690.07</v>
      </c>
      <c r="AC348">
        <v>187.92</v>
      </c>
      <c r="AD348">
        <v>0</v>
      </c>
      <c r="AE348">
        <v>0</v>
      </c>
      <c r="AF348">
        <v>87.24</v>
      </c>
      <c r="AG348">
        <v>9</v>
      </c>
      <c r="AH348">
        <v>0</v>
      </c>
      <c r="AI348">
        <v>1</v>
      </c>
      <c r="AJ348">
        <v>7.91</v>
      </c>
      <c r="AK348">
        <v>20.88</v>
      </c>
      <c r="AL348">
        <v>1</v>
      </c>
      <c r="AN348">
        <v>0</v>
      </c>
      <c r="AO348">
        <v>1</v>
      </c>
      <c r="AP348">
        <v>1</v>
      </c>
      <c r="AQ348">
        <v>0</v>
      </c>
      <c r="AR348">
        <v>0</v>
      </c>
      <c r="AS348" t="s">
        <v>3</v>
      </c>
      <c r="AT348">
        <v>0.08</v>
      </c>
      <c r="AU348" t="s">
        <v>160</v>
      </c>
      <c r="AV348">
        <v>0</v>
      </c>
      <c r="AW348">
        <v>2</v>
      </c>
      <c r="AX348">
        <v>48372692</v>
      </c>
      <c r="AY348">
        <v>1</v>
      </c>
      <c r="AZ348">
        <v>0</v>
      </c>
      <c r="BA348">
        <v>349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CX348">
        <f>Y348*Source!I162</f>
        <v>2E-3</v>
      </c>
      <c r="CY348">
        <f>AB348</f>
        <v>690.07</v>
      </c>
      <c r="CZ348">
        <f>AF348</f>
        <v>87.24</v>
      </c>
      <c r="DA348">
        <f>AJ348</f>
        <v>7.91</v>
      </c>
      <c r="DB348">
        <v>0</v>
      </c>
    </row>
    <row r="349" spans="1:106">
      <c r="A349">
        <f>ROW(Source!A162)</f>
        <v>162</v>
      </c>
      <c r="B349">
        <v>48370320</v>
      </c>
      <c r="C349">
        <v>48372667</v>
      </c>
      <c r="D349">
        <v>37802578</v>
      </c>
      <c r="E349">
        <v>1</v>
      </c>
      <c r="F349">
        <v>1</v>
      </c>
      <c r="G349">
        <v>1</v>
      </c>
      <c r="H349">
        <v>2</v>
      </c>
      <c r="I349" t="s">
        <v>550</v>
      </c>
      <c r="J349" t="s">
        <v>551</v>
      </c>
      <c r="K349" t="s">
        <v>552</v>
      </c>
      <c r="L349">
        <v>1368</v>
      </c>
      <c r="N349">
        <v>1011</v>
      </c>
      <c r="O349" t="s">
        <v>516</v>
      </c>
      <c r="P349" t="s">
        <v>516</v>
      </c>
      <c r="Q349">
        <v>1</v>
      </c>
      <c r="W349">
        <v>0</v>
      </c>
      <c r="X349">
        <v>1753337916</v>
      </c>
      <c r="Y349">
        <v>0.33750000000000002</v>
      </c>
      <c r="AA349">
        <v>0</v>
      </c>
      <c r="AB349">
        <v>327.64</v>
      </c>
      <c r="AC349">
        <v>252.65</v>
      </c>
      <c r="AD349">
        <v>0</v>
      </c>
      <c r="AE349">
        <v>0</v>
      </c>
      <c r="AF349">
        <v>32.090000000000003</v>
      </c>
      <c r="AG349">
        <v>12.1</v>
      </c>
      <c r="AH349">
        <v>0</v>
      </c>
      <c r="AI349">
        <v>1</v>
      </c>
      <c r="AJ349">
        <v>10.210000000000001</v>
      </c>
      <c r="AK349">
        <v>20.88</v>
      </c>
      <c r="AL349">
        <v>1</v>
      </c>
      <c r="AN349">
        <v>0</v>
      </c>
      <c r="AO349">
        <v>1</v>
      </c>
      <c r="AP349">
        <v>1</v>
      </c>
      <c r="AQ349">
        <v>0</v>
      </c>
      <c r="AR349">
        <v>0</v>
      </c>
      <c r="AS349" t="s">
        <v>3</v>
      </c>
      <c r="AT349">
        <v>0.27</v>
      </c>
      <c r="AU349" t="s">
        <v>160</v>
      </c>
      <c r="AV349">
        <v>0</v>
      </c>
      <c r="AW349">
        <v>2</v>
      </c>
      <c r="AX349">
        <v>48372693</v>
      </c>
      <c r="AY349">
        <v>1</v>
      </c>
      <c r="AZ349">
        <v>0</v>
      </c>
      <c r="BA349">
        <v>350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CX349">
        <f>Y349*Source!I162</f>
        <v>6.7500000000000008E-3</v>
      </c>
      <c r="CY349">
        <f>AB349</f>
        <v>327.64</v>
      </c>
      <c r="CZ349">
        <f>AF349</f>
        <v>32.090000000000003</v>
      </c>
      <c r="DA349">
        <f>AJ349</f>
        <v>10.210000000000001</v>
      </c>
      <c r="DB349">
        <v>0</v>
      </c>
    </row>
    <row r="350" spans="1:106">
      <c r="A350">
        <f>ROW(Source!A162)</f>
        <v>162</v>
      </c>
      <c r="B350">
        <v>48370320</v>
      </c>
      <c r="C350">
        <v>48372667</v>
      </c>
      <c r="D350">
        <v>37802992</v>
      </c>
      <c r="E350">
        <v>1</v>
      </c>
      <c r="F350">
        <v>1</v>
      </c>
      <c r="G350">
        <v>1</v>
      </c>
      <c r="H350">
        <v>2</v>
      </c>
      <c r="I350" t="s">
        <v>653</v>
      </c>
      <c r="J350" t="s">
        <v>654</v>
      </c>
      <c r="K350" t="s">
        <v>655</v>
      </c>
      <c r="L350">
        <v>1368</v>
      </c>
      <c r="N350">
        <v>1011</v>
      </c>
      <c r="O350" t="s">
        <v>516</v>
      </c>
      <c r="P350" t="s">
        <v>516</v>
      </c>
      <c r="Q350">
        <v>1</v>
      </c>
      <c r="W350">
        <v>0</v>
      </c>
      <c r="X350">
        <v>1801551115</v>
      </c>
      <c r="Y350">
        <v>1.625</v>
      </c>
      <c r="AA350">
        <v>0</v>
      </c>
      <c r="AB350">
        <v>207.72</v>
      </c>
      <c r="AC350">
        <v>187.92</v>
      </c>
      <c r="AD350">
        <v>0</v>
      </c>
      <c r="AE350">
        <v>0</v>
      </c>
      <c r="AF350">
        <v>11.32</v>
      </c>
      <c r="AG350">
        <v>9</v>
      </c>
      <c r="AH350">
        <v>0</v>
      </c>
      <c r="AI350">
        <v>1</v>
      </c>
      <c r="AJ350">
        <v>18.350000000000001</v>
      </c>
      <c r="AK350">
        <v>20.88</v>
      </c>
      <c r="AL350">
        <v>1</v>
      </c>
      <c r="AN350">
        <v>0</v>
      </c>
      <c r="AO350">
        <v>1</v>
      </c>
      <c r="AP350">
        <v>1</v>
      </c>
      <c r="AQ350">
        <v>0</v>
      </c>
      <c r="AR350">
        <v>0</v>
      </c>
      <c r="AS350" t="s">
        <v>3</v>
      </c>
      <c r="AT350">
        <v>1.3</v>
      </c>
      <c r="AU350" t="s">
        <v>160</v>
      </c>
      <c r="AV350">
        <v>0</v>
      </c>
      <c r="AW350">
        <v>2</v>
      </c>
      <c r="AX350">
        <v>48372694</v>
      </c>
      <c r="AY350">
        <v>1</v>
      </c>
      <c r="AZ350">
        <v>0</v>
      </c>
      <c r="BA350">
        <v>351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CX350">
        <f>Y350*Source!I162</f>
        <v>3.2500000000000001E-2</v>
      </c>
      <c r="CY350">
        <f>AB350</f>
        <v>207.72</v>
      </c>
      <c r="CZ350">
        <f>AF350</f>
        <v>11.32</v>
      </c>
      <c r="DA350">
        <f>AJ350</f>
        <v>18.350000000000001</v>
      </c>
      <c r="DB350">
        <v>0</v>
      </c>
    </row>
    <row r="351" spans="1:106">
      <c r="A351">
        <f>ROW(Source!A162)</f>
        <v>162</v>
      </c>
      <c r="B351">
        <v>48370320</v>
      </c>
      <c r="C351">
        <v>48372667</v>
      </c>
      <c r="D351">
        <v>37732053</v>
      </c>
      <c r="E351">
        <v>1</v>
      </c>
      <c r="F351">
        <v>1</v>
      </c>
      <c r="G351">
        <v>1</v>
      </c>
      <c r="H351">
        <v>3</v>
      </c>
      <c r="I351" t="s">
        <v>187</v>
      </c>
      <c r="J351" t="s">
        <v>190</v>
      </c>
      <c r="K351" t="s">
        <v>188</v>
      </c>
      <c r="L351">
        <v>1327</v>
      </c>
      <c r="N351">
        <v>1005</v>
      </c>
      <c r="O351" t="s">
        <v>189</v>
      </c>
      <c r="P351" t="s">
        <v>189</v>
      </c>
      <c r="Q351">
        <v>1</v>
      </c>
      <c r="W351">
        <v>1</v>
      </c>
      <c r="X351">
        <v>-1026179426</v>
      </c>
      <c r="Y351">
        <v>-100</v>
      </c>
      <c r="AA351">
        <v>257.04000000000002</v>
      </c>
      <c r="AB351">
        <v>0</v>
      </c>
      <c r="AC351">
        <v>0</v>
      </c>
      <c r="AD351">
        <v>0</v>
      </c>
      <c r="AE351">
        <v>68</v>
      </c>
      <c r="AF351">
        <v>0</v>
      </c>
      <c r="AG351">
        <v>0</v>
      </c>
      <c r="AH351">
        <v>0</v>
      </c>
      <c r="AI351">
        <v>3.78</v>
      </c>
      <c r="AJ351">
        <v>1</v>
      </c>
      <c r="AK351">
        <v>1</v>
      </c>
      <c r="AL351">
        <v>1</v>
      </c>
      <c r="AN351">
        <v>0</v>
      </c>
      <c r="AO351">
        <v>1</v>
      </c>
      <c r="AP351">
        <v>0</v>
      </c>
      <c r="AQ351">
        <v>0</v>
      </c>
      <c r="AR351">
        <v>0</v>
      </c>
      <c r="AS351" t="s">
        <v>3</v>
      </c>
      <c r="AT351">
        <v>-100</v>
      </c>
      <c r="AU351" t="s">
        <v>3</v>
      </c>
      <c r="AV351">
        <v>0</v>
      </c>
      <c r="AW351">
        <v>2</v>
      </c>
      <c r="AX351">
        <v>48372695</v>
      </c>
      <c r="AY351">
        <v>1</v>
      </c>
      <c r="AZ351">
        <v>6144</v>
      </c>
      <c r="BA351">
        <v>352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CX351">
        <f>Y351*Source!I162</f>
        <v>-2</v>
      </c>
      <c r="CY351">
        <f>AA351</f>
        <v>257.04000000000002</v>
      </c>
      <c r="CZ351">
        <f>AE351</f>
        <v>68</v>
      </c>
      <c r="DA351">
        <f>AI351</f>
        <v>3.78</v>
      </c>
      <c r="DB351">
        <v>0</v>
      </c>
    </row>
    <row r="352" spans="1:106">
      <c r="A352">
        <f>ROW(Source!A162)</f>
        <v>162</v>
      </c>
      <c r="B352">
        <v>48370320</v>
      </c>
      <c r="C352">
        <v>48372667</v>
      </c>
      <c r="D352">
        <v>37729991</v>
      </c>
      <c r="E352">
        <v>1</v>
      </c>
      <c r="F352">
        <v>1</v>
      </c>
      <c r="G352">
        <v>1</v>
      </c>
      <c r="H352">
        <v>3</v>
      </c>
      <c r="I352" t="s">
        <v>625</v>
      </c>
      <c r="J352" t="s">
        <v>626</v>
      </c>
      <c r="K352" t="s">
        <v>627</v>
      </c>
      <c r="L352">
        <v>1346</v>
      </c>
      <c r="N352">
        <v>1009</v>
      </c>
      <c r="O352" t="s">
        <v>172</v>
      </c>
      <c r="P352" t="s">
        <v>172</v>
      </c>
      <c r="Q352">
        <v>1</v>
      </c>
      <c r="W352">
        <v>0</v>
      </c>
      <c r="X352">
        <v>844235703</v>
      </c>
      <c r="Y352">
        <v>0.5</v>
      </c>
      <c r="AA352">
        <v>26.15</v>
      </c>
      <c r="AB352">
        <v>0</v>
      </c>
      <c r="AC352">
        <v>0</v>
      </c>
      <c r="AD352">
        <v>0</v>
      </c>
      <c r="AE352">
        <v>1.82</v>
      </c>
      <c r="AF352">
        <v>0</v>
      </c>
      <c r="AG352">
        <v>0</v>
      </c>
      <c r="AH352">
        <v>0</v>
      </c>
      <c r="AI352">
        <v>14.37</v>
      </c>
      <c r="AJ352">
        <v>1</v>
      </c>
      <c r="AK352">
        <v>1</v>
      </c>
      <c r="AL352">
        <v>1</v>
      </c>
      <c r="AN352">
        <v>0</v>
      </c>
      <c r="AO352">
        <v>1</v>
      </c>
      <c r="AP352">
        <v>0</v>
      </c>
      <c r="AQ352">
        <v>0</v>
      </c>
      <c r="AR352">
        <v>0</v>
      </c>
      <c r="AS352" t="s">
        <v>3</v>
      </c>
      <c r="AT352">
        <v>0.5</v>
      </c>
      <c r="AU352" t="s">
        <v>3</v>
      </c>
      <c r="AV352">
        <v>0</v>
      </c>
      <c r="AW352">
        <v>2</v>
      </c>
      <c r="AX352">
        <v>48372696</v>
      </c>
      <c r="AY352">
        <v>1</v>
      </c>
      <c r="AZ352">
        <v>0</v>
      </c>
      <c r="BA352">
        <v>353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CX352">
        <f>Y352*Source!I162</f>
        <v>0.01</v>
      </c>
      <c r="CY352">
        <f>AA352</f>
        <v>26.15</v>
      </c>
      <c r="CZ352">
        <f>AE352</f>
        <v>1.82</v>
      </c>
      <c r="DA352">
        <f>AI352</f>
        <v>14.37</v>
      </c>
      <c r="DB352">
        <v>0</v>
      </c>
    </row>
    <row r="353" spans="1:106">
      <c r="A353">
        <f>ROW(Source!A162)</f>
        <v>162</v>
      </c>
      <c r="B353">
        <v>48370320</v>
      </c>
      <c r="C353">
        <v>48372667</v>
      </c>
      <c r="D353">
        <v>37731581</v>
      </c>
      <c r="E353">
        <v>1</v>
      </c>
      <c r="F353">
        <v>1</v>
      </c>
      <c r="G353">
        <v>1</v>
      </c>
      <c r="H353">
        <v>3</v>
      </c>
      <c r="I353" t="s">
        <v>656</v>
      </c>
      <c r="J353" t="s">
        <v>657</v>
      </c>
      <c r="K353" t="s">
        <v>658</v>
      </c>
      <c r="L353">
        <v>1348</v>
      </c>
      <c r="N353">
        <v>1009</v>
      </c>
      <c r="O353" t="s">
        <v>536</v>
      </c>
      <c r="P353" t="s">
        <v>536</v>
      </c>
      <c r="Q353">
        <v>1000</v>
      </c>
      <c r="W353">
        <v>0</v>
      </c>
      <c r="X353">
        <v>147652944</v>
      </c>
      <c r="Y353">
        <v>0.375</v>
      </c>
      <c r="AA353">
        <v>14345.02</v>
      </c>
      <c r="AB353">
        <v>0</v>
      </c>
      <c r="AC353">
        <v>0</v>
      </c>
      <c r="AD353">
        <v>0</v>
      </c>
      <c r="AE353">
        <v>4929.5600000000004</v>
      </c>
      <c r="AF353">
        <v>0</v>
      </c>
      <c r="AG353">
        <v>0</v>
      </c>
      <c r="AH353">
        <v>0</v>
      </c>
      <c r="AI353">
        <v>2.91</v>
      </c>
      <c r="AJ353">
        <v>1</v>
      </c>
      <c r="AK353">
        <v>1</v>
      </c>
      <c r="AL353">
        <v>1</v>
      </c>
      <c r="AN353">
        <v>0</v>
      </c>
      <c r="AO353">
        <v>1</v>
      </c>
      <c r="AP353">
        <v>0</v>
      </c>
      <c r="AQ353">
        <v>0</v>
      </c>
      <c r="AR353">
        <v>0</v>
      </c>
      <c r="AS353" t="s">
        <v>3</v>
      </c>
      <c r="AT353">
        <v>0.375</v>
      </c>
      <c r="AU353" t="s">
        <v>3</v>
      </c>
      <c r="AV353">
        <v>0</v>
      </c>
      <c r="AW353">
        <v>2</v>
      </c>
      <c r="AX353">
        <v>48372697</v>
      </c>
      <c r="AY353">
        <v>1</v>
      </c>
      <c r="AZ353">
        <v>0</v>
      </c>
      <c r="BA353">
        <v>354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CX353">
        <f>Y353*Source!I162</f>
        <v>7.4999999999999997E-3</v>
      </c>
      <c r="CY353">
        <f>AA353</f>
        <v>14345.02</v>
      </c>
      <c r="CZ353">
        <f>AE353</f>
        <v>4929.5600000000004</v>
      </c>
      <c r="DA353">
        <f>AI353</f>
        <v>2.91</v>
      </c>
      <c r="DB353">
        <v>0</v>
      </c>
    </row>
    <row r="354" spans="1:106">
      <c r="A354">
        <f>ROW(Source!A162)</f>
        <v>162</v>
      </c>
      <c r="B354">
        <v>48370320</v>
      </c>
      <c r="C354">
        <v>48372667</v>
      </c>
      <c r="D354">
        <v>37768198</v>
      </c>
      <c r="E354">
        <v>1</v>
      </c>
      <c r="F354">
        <v>1</v>
      </c>
      <c r="G354">
        <v>1</v>
      </c>
      <c r="H354">
        <v>3</v>
      </c>
      <c r="I354" t="s">
        <v>659</v>
      </c>
      <c r="J354" t="s">
        <v>660</v>
      </c>
      <c r="K354" t="s">
        <v>661</v>
      </c>
      <c r="L354">
        <v>1348</v>
      </c>
      <c r="N354">
        <v>1009</v>
      </c>
      <c r="O354" t="s">
        <v>536</v>
      </c>
      <c r="P354" t="s">
        <v>536</v>
      </c>
      <c r="Q354">
        <v>1000</v>
      </c>
      <c r="W354">
        <v>0</v>
      </c>
      <c r="X354">
        <v>158175327</v>
      </c>
      <c r="Y354">
        <v>0.05</v>
      </c>
      <c r="AA354">
        <v>30784.95</v>
      </c>
      <c r="AB354">
        <v>0</v>
      </c>
      <c r="AC354">
        <v>0</v>
      </c>
      <c r="AD354">
        <v>0</v>
      </c>
      <c r="AE354">
        <v>9135</v>
      </c>
      <c r="AF354">
        <v>0</v>
      </c>
      <c r="AG354">
        <v>0</v>
      </c>
      <c r="AH354">
        <v>0</v>
      </c>
      <c r="AI354">
        <v>3.37</v>
      </c>
      <c r="AJ354">
        <v>1</v>
      </c>
      <c r="AK354">
        <v>1</v>
      </c>
      <c r="AL354">
        <v>1</v>
      </c>
      <c r="AN354">
        <v>0</v>
      </c>
      <c r="AO354">
        <v>1</v>
      </c>
      <c r="AP354">
        <v>0</v>
      </c>
      <c r="AQ354">
        <v>0</v>
      </c>
      <c r="AR354">
        <v>0</v>
      </c>
      <c r="AS354" t="s">
        <v>3</v>
      </c>
      <c r="AT354">
        <v>0.05</v>
      </c>
      <c r="AU354" t="s">
        <v>3</v>
      </c>
      <c r="AV354">
        <v>0</v>
      </c>
      <c r="AW354">
        <v>2</v>
      </c>
      <c r="AX354">
        <v>48372698</v>
      </c>
      <c r="AY354">
        <v>1</v>
      </c>
      <c r="AZ354">
        <v>0</v>
      </c>
      <c r="BA354">
        <v>355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CX354">
        <f>Y354*Source!I162</f>
        <v>1E-3</v>
      </c>
      <c r="CY354">
        <f>AA354</f>
        <v>30784.95</v>
      </c>
      <c r="CZ354">
        <f>AE354</f>
        <v>9135</v>
      </c>
      <c r="DA354">
        <f>AI354</f>
        <v>3.37</v>
      </c>
      <c r="DB354">
        <v>0</v>
      </c>
    </row>
    <row r="355" spans="1:106">
      <c r="A355">
        <f>ROW(Source!A162)</f>
        <v>162</v>
      </c>
      <c r="B355">
        <v>48370320</v>
      </c>
      <c r="C355">
        <v>48372667</v>
      </c>
      <c r="D355">
        <v>37777802</v>
      </c>
      <c r="E355">
        <v>1</v>
      </c>
      <c r="F355">
        <v>1</v>
      </c>
      <c r="G355">
        <v>1</v>
      </c>
      <c r="H355">
        <v>3</v>
      </c>
      <c r="I355" t="s">
        <v>616</v>
      </c>
      <c r="J355" t="s">
        <v>617</v>
      </c>
      <c r="K355" t="s">
        <v>618</v>
      </c>
      <c r="L355">
        <v>1339</v>
      </c>
      <c r="N355">
        <v>1007</v>
      </c>
      <c r="O355" t="s">
        <v>543</v>
      </c>
      <c r="P355" t="s">
        <v>543</v>
      </c>
      <c r="Q355">
        <v>1</v>
      </c>
      <c r="W355">
        <v>0</v>
      </c>
      <c r="X355">
        <v>-1418712732</v>
      </c>
      <c r="Y355">
        <v>0.93</v>
      </c>
      <c r="AA355">
        <v>45.55</v>
      </c>
      <c r="AB355">
        <v>0</v>
      </c>
      <c r="AC355">
        <v>0</v>
      </c>
      <c r="AD355">
        <v>0</v>
      </c>
      <c r="AE355">
        <v>2.4700000000000002</v>
      </c>
      <c r="AF355">
        <v>0</v>
      </c>
      <c r="AG355">
        <v>0</v>
      </c>
      <c r="AH355">
        <v>0</v>
      </c>
      <c r="AI355">
        <v>18.440000000000001</v>
      </c>
      <c r="AJ355">
        <v>1</v>
      </c>
      <c r="AK355">
        <v>1</v>
      </c>
      <c r="AL355">
        <v>1</v>
      </c>
      <c r="AN355">
        <v>0</v>
      </c>
      <c r="AO355">
        <v>1</v>
      </c>
      <c r="AP355">
        <v>0</v>
      </c>
      <c r="AQ355">
        <v>0</v>
      </c>
      <c r="AR355">
        <v>0</v>
      </c>
      <c r="AS355" t="s">
        <v>3</v>
      </c>
      <c r="AT355">
        <v>0.93</v>
      </c>
      <c r="AU355" t="s">
        <v>3</v>
      </c>
      <c r="AV355">
        <v>0</v>
      </c>
      <c r="AW355">
        <v>2</v>
      </c>
      <c r="AX355">
        <v>48372699</v>
      </c>
      <c r="AY355">
        <v>1</v>
      </c>
      <c r="AZ355">
        <v>0</v>
      </c>
      <c r="BA355">
        <v>356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CX355">
        <f>Y355*Source!I162</f>
        <v>1.8600000000000002E-2</v>
      </c>
      <c r="CY355">
        <f>AA355</f>
        <v>45.55</v>
      </c>
      <c r="CZ355">
        <f>AE355</f>
        <v>2.4700000000000002</v>
      </c>
      <c r="DA355">
        <f>AI355</f>
        <v>18.440000000000001</v>
      </c>
      <c r="DB355">
        <v>0</v>
      </c>
    </row>
    <row r="356" spans="1:106">
      <c r="A356">
        <f>ROW(Source!A165)</f>
        <v>165</v>
      </c>
      <c r="B356">
        <v>48370320</v>
      </c>
      <c r="C356">
        <v>48372711</v>
      </c>
      <c r="D356">
        <v>23129805</v>
      </c>
      <c r="E356">
        <v>1</v>
      </c>
      <c r="F356">
        <v>1</v>
      </c>
      <c r="G356">
        <v>1</v>
      </c>
      <c r="H356">
        <v>1</v>
      </c>
      <c r="I356" t="s">
        <v>553</v>
      </c>
      <c r="J356" t="s">
        <v>3</v>
      </c>
      <c r="K356" t="s">
        <v>554</v>
      </c>
      <c r="L356">
        <v>1369</v>
      </c>
      <c r="N356">
        <v>1013</v>
      </c>
      <c r="O356" t="s">
        <v>510</v>
      </c>
      <c r="P356" t="s">
        <v>510</v>
      </c>
      <c r="Q356">
        <v>1</v>
      </c>
      <c r="W356">
        <v>0</v>
      </c>
      <c r="X356">
        <v>756115135</v>
      </c>
      <c r="Y356">
        <v>46.19</v>
      </c>
      <c r="AA356">
        <v>0</v>
      </c>
      <c r="AB356">
        <v>0</v>
      </c>
      <c r="AC356">
        <v>0</v>
      </c>
      <c r="AD356">
        <v>7.97</v>
      </c>
      <c r="AE356">
        <v>0</v>
      </c>
      <c r="AF356">
        <v>0</v>
      </c>
      <c r="AG356">
        <v>0</v>
      </c>
      <c r="AH356">
        <v>7.97</v>
      </c>
      <c r="AI356">
        <v>1</v>
      </c>
      <c r="AJ356">
        <v>1</v>
      </c>
      <c r="AK356">
        <v>1</v>
      </c>
      <c r="AL356">
        <v>1</v>
      </c>
      <c r="AN356">
        <v>0</v>
      </c>
      <c r="AO356">
        <v>1</v>
      </c>
      <c r="AP356">
        <v>0</v>
      </c>
      <c r="AQ356">
        <v>0</v>
      </c>
      <c r="AR356">
        <v>0</v>
      </c>
      <c r="AS356" t="s">
        <v>3</v>
      </c>
      <c r="AT356">
        <v>46.19</v>
      </c>
      <c r="AU356" t="s">
        <v>3</v>
      </c>
      <c r="AV356">
        <v>1</v>
      </c>
      <c r="AW356">
        <v>2</v>
      </c>
      <c r="AX356">
        <v>48372712</v>
      </c>
      <c r="AY356">
        <v>1</v>
      </c>
      <c r="AZ356">
        <v>0</v>
      </c>
      <c r="BA356">
        <v>357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CX356">
        <f>Y356*Source!I165</f>
        <v>0.46189999999999998</v>
      </c>
      <c r="CY356">
        <f>AD356</f>
        <v>7.97</v>
      </c>
      <c r="CZ356">
        <f>AH356</f>
        <v>7.97</v>
      </c>
      <c r="DA356">
        <f>AL356</f>
        <v>1</v>
      </c>
      <c r="DB356">
        <v>0</v>
      </c>
    </row>
    <row r="357" spans="1:106">
      <c r="A357">
        <f>ROW(Source!A165)</f>
        <v>165</v>
      </c>
      <c r="B357">
        <v>48370320</v>
      </c>
      <c r="C357">
        <v>48372711</v>
      </c>
      <c r="D357">
        <v>121548</v>
      </c>
      <c r="E357">
        <v>1</v>
      </c>
      <c r="F357">
        <v>1</v>
      </c>
      <c r="G357">
        <v>1</v>
      </c>
      <c r="H357">
        <v>1</v>
      </c>
      <c r="I357" t="s">
        <v>24</v>
      </c>
      <c r="J357" t="s">
        <v>3</v>
      </c>
      <c r="K357" t="s">
        <v>511</v>
      </c>
      <c r="L357">
        <v>608254</v>
      </c>
      <c r="N357">
        <v>1013</v>
      </c>
      <c r="O357" t="s">
        <v>512</v>
      </c>
      <c r="P357" t="s">
        <v>512</v>
      </c>
      <c r="Q357">
        <v>1</v>
      </c>
      <c r="W357">
        <v>0</v>
      </c>
      <c r="X357">
        <v>-185737400</v>
      </c>
      <c r="Y357">
        <v>0.01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1</v>
      </c>
      <c r="AJ357">
        <v>1</v>
      </c>
      <c r="AK357">
        <v>1</v>
      </c>
      <c r="AL357">
        <v>1</v>
      </c>
      <c r="AN357">
        <v>0</v>
      </c>
      <c r="AO357">
        <v>1</v>
      </c>
      <c r="AP357">
        <v>0</v>
      </c>
      <c r="AQ357">
        <v>0</v>
      </c>
      <c r="AR357">
        <v>0</v>
      </c>
      <c r="AS357" t="s">
        <v>3</v>
      </c>
      <c r="AT357">
        <v>0.01</v>
      </c>
      <c r="AU357" t="s">
        <v>3</v>
      </c>
      <c r="AV357">
        <v>2</v>
      </c>
      <c r="AW357">
        <v>2</v>
      </c>
      <c r="AX357">
        <v>48372713</v>
      </c>
      <c r="AY357">
        <v>1</v>
      </c>
      <c r="AZ357">
        <v>0</v>
      </c>
      <c r="BA357">
        <v>358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CX357">
        <f>Y357*Source!I165</f>
        <v>1E-4</v>
      </c>
      <c r="CY357">
        <f>AD357</f>
        <v>0</v>
      </c>
      <c r="CZ357">
        <f>AH357</f>
        <v>0</v>
      </c>
      <c r="DA357">
        <f>AL357</f>
        <v>1</v>
      </c>
      <c r="DB357">
        <v>0</v>
      </c>
    </row>
    <row r="358" spans="1:106">
      <c r="A358">
        <f>ROW(Source!A165)</f>
        <v>165</v>
      </c>
      <c r="B358">
        <v>48370320</v>
      </c>
      <c r="C358">
        <v>48372711</v>
      </c>
      <c r="D358">
        <v>37802578</v>
      </c>
      <c r="E358">
        <v>1</v>
      </c>
      <c r="F358">
        <v>1</v>
      </c>
      <c r="G358">
        <v>1</v>
      </c>
      <c r="H358">
        <v>2</v>
      </c>
      <c r="I358" t="s">
        <v>550</v>
      </c>
      <c r="J358" t="s">
        <v>551</v>
      </c>
      <c r="K358" t="s">
        <v>552</v>
      </c>
      <c r="L358">
        <v>1368</v>
      </c>
      <c r="N358">
        <v>1011</v>
      </c>
      <c r="O358" t="s">
        <v>516</v>
      </c>
      <c r="P358" t="s">
        <v>516</v>
      </c>
      <c r="Q358">
        <v>1</v>
      </c>
      <c r="W358">
        <v>0</v>
      </c>
      <c r="X358">
        <v>1753337916</v>
      </c>
      <c r="Y358">
        <v>0.01</v>
      </c>
      <c r="AA358">
        <v>0</v>
      </c>
      <c r="AB358">
        <v>327.64</v>
      </c>
      <c r="AC358">
        <v>252.65</v>
      </c>
      <c r="AD358">
        <v>0</v>
      </c>
      <c r="AE358">
        <v>0</v>
      </c>
      <c r="AF358">
        <v>32.090000000000003</v>
      </c>
      <c r="AG358">
        <v>12.1</v>
      </c>
      <c r="AH358">
        <v>0</v>
      </c>
      <c r="AI358">
        <v>1</v>
      </c>
      <c r="AJ358">
        <v>10.210000000000001</v>
      </c>
      <c r="AK358">
        <v>20.88</v>
      </c>
      <c r="AL358">
        <v>1</v>
      </c>
      <c r="AN358">
        <v>0</v>
      </c>
      <c r="AO358">
        <v>1</v>
      </c>
      <c r="AP358">
        <v>0</v>
      </c>
      <c r="AQ358">
        <v>0</v>
      </c>
      <c r="AR358">
        <v>0</v>
      </c>
      <c r="AS358" t="s">
        <v>3</v>
      </c>
      <c r="AT358">
        <v>0.01</v>
      </c>
      <c r="AU358" t="s">
        <v>3</v>
      </c>
      <c r="AV358">
        <v>0</v>
      </c>
      <c r="AW358">
        <v>2</v>
      </c>
      <c r="AX358">
        <v>48372714</v>
      </c>
      <c r="AY358">
        <v>1</v>
      </c>
      <c r="AZ358">
        <v>0</v>
      </c>
      <c r="BA358">
        <v>359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CX358">
        <f>Y358*Source!I165</f>
        <v>1E-4</v>
      </c>
      <c r="CY358">
        <f>AB358</f>
        <v>327.64</v>
      </c>
      <c r="CZ358">
        <f>AF358</f>
        <v>32.090000000000003</v>
      </c>
      <c r="DA358">
        <f>AJ358</f>
        <v>10.210000000000001</v>
      </c>
      <c r="DB358">
        <v>0</v>
      </c>
    </row>
    <row r="359" spans="1:106">
      <c r="A359">
        <f>ROW(Source!A165)</f>
        <v>165</v>
      </c>
      <c r="B359">
        <v>48370320</v>
      </c>
      <c r="C359">
        <v>48372711</v>
      </c>
      <c r="D359">
        <v>37758213</v>
      </c>
      <c r="E359">
        <v>1</v>
      </c>
      <c r="F359">
        <v>1</v>
      </c>
      <c r="G359">
        <v>1</v>
      </c>
      <c r="H359">
        <v>3</v>
      </c>
      <c r="I359" t="s">
        <v>902</v>
      </c>
      <c r="J359" t="s">
        <v>903</v>
      </c>
      <c r="K359" t="s">
        <v>904</v>
      </c>
      <c r="L359">
        <v>1354</v>
      </c>
      <c r="N359">
        <v>1010</v>
      </c>
      <c r="O359" t="s">
        <v>220</v>
      </c>
      <c r="P359" t="s">
        <v>220</v>
      </c>
      <c r="Q359">
        <v>1</v>
      </c>
      <c r="W359">
        <v>0</v>
      </c>
      <c r="X359">
        <v>1653530341</v>
      </c>
      <c r="Y359">
        <v>100</v>
      </c>
      <c r="AA359">
        <v>151.99</v>
      </c>
      <c r="AB359">
        <v>0</v>
      </c>
      <c r="AC359">
        <v>0</v>
      </c>
      <c r="AD359">
        <v>0</v>
      </c>
      <c r="AE359">
        <v>28.25</v>
      </c>
      <c r="AF359">
        <v>0</v>
      </c>
      <c r="AG359">
        <v>0</v>
      </c>
      <c r="AH359">
        <v>0</v>
      </c>
      <c r="AI359">
        <v>5.38</v>
      </c>
      <c r="AJ359">
        <v>1</v>
      </c>
      <c r="AK359">
        <v>1</v>
      </c>
      <c r="AL359">
        <v>1</v>
      </c>
      <c r="AN359">
        <v>0</v>
      </c>
      <c r="AO359">
        <v>1</v>
      </c>
      <c r="AP359">
        <v>0</v>
      </c>
      <c r="AQ359">
        <v>0</v>
      </c>
      <c r="AR359">
        <v>0</v>
      </c>
      <c r="AS359" t="s">
        <v>3</v>
      </c>
      <c r="AT359">
        <v>100</v>
      </c>
      <c r="AU359" t="s">
        <v>3</v>
      </c>
      <c r="AV359">
        <v>0</v>
      </c>
      <c r="AW359">
        <v>2</v>
      </c>
      <c r="AX359">
        <v>48372715</v>
      </c>
      <c r="AY359">
        <v>1</v>
      </c>
      <c r="AZ359">
        <v>0</v>
      </c>
      <c r="BA359">
        <v>360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CX359">
        <f>Y359*Source!I165</f>
        <v>1</v>
      </c>
      <c r="CY359">
        <f>AA359</f>
        <v>151.99</v>
      </c>
      <c r="CZ359">
        <f>AE359</f>
        <v>28.25</v>
      </c>
      <c r="DA359">
        <f>AI359</f>
        <v>5.38</v>
      </c>
      <c r="DB359">
        <v>0</v>
      </c>
    </row>
    <row r="360" spans="1:106">
      <c r="A360">
        <f>ROW(Source!A165)</f>
        <v>165</v>
      </c>
      <c r="B360">
        <v>48370320</v>
      </c>
      <c r="C360">
        <v>48372711</v>
      </c>
      <c r="D360">
        <v>37777026</v>
      </c>
      <c r="E360">
        <v>1</v>
      </c>
      <c r="F360">
        <v>1</v>
      </c>
      <c r="G360">
        <v>1</v>
      </c>
      <c r="H360">
        <v>3</v>
      </c>
      <c r="I360" t="s">
        <v>645</v>
      </c>
      <c r="J360" t="s">
        <v>646</v>
      </c>
      <c r="K360" t="s">
        <v>647</v>
      </c>
      <c r="L360">
        <v>1348</v>
      </c>
      <c r="N360">
        <v>1009</v>
      </c>
      <c r="O360" t="s">
        <v>536</v>
      </c>
      <c r="P360" t="s">
        <v>536</v>
      </c>
      <c r="Q360">
        <v>1000</v>
      </c>
      <c r="W360">
        <v>0</v>
      </c>
      <c r="X360">
        <v>-1829182015</v>
      </c>
      <c r="Y360">
        <v>0.05</v>
      </c>
      <c r="AA360">
        <v>4138.99</v>
      </c>
      <c r="AB360">
        <v>0</v>
      </c>
      <c r="AC360">
        <v>0</v>
      </c>
      <c r="AD360">
        <v>0</v>
      </c>
      <c r="AE360">
        <v>729.98</v>
      </c>
      <c r="AF360">
        <v>0</v>
      </c>
      <c r="AG360">
        <v>0</v>
      </c>
      <c r="AH360">
        <v>0</v>
      </c>
      <c r="AI360">
        <v>5.67</v>
      </c>
      <c r="AJ360">
        <v>1</v>
      </c>
      <c r="AK360">
        <v>1</v>
      </c>
      <c r="AL360">
        <v>1</v>
      </c>
      <c r="AN360">
        <v>0</v>
      </c>
      <c r="AO360">
        <v>1</v>
      </c>
      <c r="AP360">
        <v>0</v>
      </c>
      <c r="AQ360">
        <v>0</v>
      </c>
      <c r="AR360">
        <v>0</v>
      </c>
      <c r="AS360" t="s">
        <v>3</v>
      </c>
      <c r="AT360">
        <v>0.05</v>
      </c>
      <c r="AU360" t="s">
        <v>3</v>
      </c>
      <c r="AV360">
        <v>0</v>
      </c>
      <c r="AW360">
        <v>2</v>
      </c>
      <c r="AX360">
        <v>48372716</v>
      </c>
      <c r="AY360">
        <v>1</v>
      </c>
      <c r="AZ360">
        <v>0</v>
      </c>
      <c r="BA360">
        <v>361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CX360">
        <f>Y360*Source!I165</f>
        <v>5.0000000000000001E-4</v>
      </c>
      <c r="CY360">
        <f>AA360</f>
        <v>4138.99</v>
      </c>
      <c r="CZ360">
        <f>AE360</f>
        <v>729.98</v>
      </c>
      <c r="DA360">
        <f>AI360</f>
        <v>5.67</v>
      </c>
      <c r="DB360">
        <v>0</v>
      </c>
    </row>
    <row r="361" spans="1:106">
      <c r="A361">
        <f>ROW(Source!A165)</f>
        <v>165</v>
      </c>
      <c r="B361">
        <v>48370320</v>
      </c>
      <c r="C361">
        <v>48372711</v>
      </c>
      <c r="D361">
        <v>37777802</v>
      </c>
      <c r="E361">
        <v>1</v>
      </c>
      <c r="F361">
        <v>1</v>
      </c>
      <c r="G361">
        <v>1</v>
      </c>
      <c r="H361">
        <v>3</v>
      </c>
      <c r="I361" t="s">
        <v>616</v>
      </c>
      <c r="J361" t="s">
        <v>617</v>
      </c>
      <c r="K361" t="s">
        <v>618</v>
      </c>
      <c r="L361">
        <v>1339</v>
      </c>
      <c r="N361">
        <v>1007</v>
      </c>
      <c r="O361" t="s">
        <v>543</v>
      </c>
      <c r="P361" t="s">
        <v>543</v>
      </c>
      <c r="Q361">
        <v>1</v>
      </c>
      <c r="W361">
        <v>0</v>
      </c>
      <c r="X361">
        <v>-1418712732</v>
      </c>
      <c r="Y361">
        <v>0.02</v>
      </c>
      <c r="AA361">
        <v>45.55</v>
      </c>
      <c r="AB361">
        <v>0</v>
      </c>
      <c r="AC361">
        <v>0</v>
      </c>
      <c r="AD361">
        <v>0</v>
      </c>
      <c r="AE361">
        <v>2.4700000000000002</v>
      </c>
      <c r="AF361">
        <v>0</v>
      </c>
      <c r="AG361">
        <v>0</v>
      </c>
      <c r="AH361">
        <v>0</v>
      </c>
      <c r="AI361">
        <v>18.440000000000001</v>
      </c>
      <c r="AJ361">
        <v>1</v>
      </c>
      <c r="AK361">
        <v>1</v>
      </c>
      <c r="AL361">
        <v>1</v>
      </c>
      <c r="AN361">
        <v>0</v>
      </c>
      <c r="AO361">
        <v>1</v>
      </c>
      <c r="AP361">
        <v>0</v>
      </c>
      <c r="AQ361">
        <v>0</v>
      </c>
      <c r="AR361">
        <v>0</v>
      </c>
      <c r="AS361" t="s">
        <v>3</v>
      </c>
      <c r="AT361">
        <v>0.02</v>
      </c>
      <c r="AU361" t="s">
        <v>3</v>
      </c>
      <c r="AV361">
        <v>0</v>
      </c>
      <c r="AW361">
        <v>2</v>
      </c>
      <c r="AX361">
        <v>48372717</v>
      </c>
      <c r="AY361">
        <v>1</v>
      </c>
      <c r="AZ361">
        <v>0</v>
      </c>
      <c r="BA361">
        <v>362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CX361">
        <f>Y361*Source!I165</f>
        <v>2.0000000000000001E-4</v>
      </c>
      <c r="CY361">
        <f>AA361</f>
        <v>45.55</v>
      </c>
      <c r="CZ361">
        <f>AE361</f>
        <v>2.4700000000000002</v>
      </c>
      <c r="DA361">
        <f>AI361</f>
        <v>18.440000000000001</v>
      </c>
      <c r="DB361">
        <v>0</v>
      </c>
    </row>
    <row r="362" spans="1:106">
      <c r="A362">
        <f>ROW(Source!A165)</f>
        <v>165</v>
      </c>
      <c r="B362">
        <v>48370320</v>
      </c>
      <c r="C362">
        <v>48372711</v>
      </c>
      <c r="D362">
        <v>37792787</v>
      </c>
      <c r="E362">
        <v>1</v>
      </c>
      <c r="F362">
        <v>1</v>
      </c>
      <c r="G362">
        <v>1</v>
      </c>
      <c r="H362">
        <v>3</v>
      </c>
      <c r="I362" t="s">
        <v>555</v>
      </c>
      <c r="J362" t="s">
        <v>556</v>
      </c>
      <c r="K362" t="s">
        <v>557</v>
      </c>
      <c r="L362">
        <v>1348</v>
      </c>
      <c r="N362">
        <v>1009</v>
      </c>
      <c r="O362" t="s">
        <v>536</v>
      </c>
      <c r="P362" t="s">
        <v>536</v>
      </c>
      <c r="Q362">
        <v>1000</v>
      </c>
      <c r="W362">
        <v>0</v>
      </c>
      <c r="X362">
        <v>-150994421</v>
      </c>
      <c r="Y362">
        <v>7.0000000000000007E-2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1</v>
      </c>
      <c r="AJ362">
        <v>1</v>
      </c>
      <c r="AK362">
        <v>1</v>
      </c>
      <c r="AL362">
        <v>1</v>
      </c>
      <c r="AN362">
        <v>0</v>
      </c>
      <c r="AO362">
        <v>0</v>
      </c>
      <c r="AP362">
        <v>0</v>
      </c>
      <c r="AQ362">
        <v>0</v>
      </c>
      <c r="AR362">
        <v>0</v>
      </c>
      <c r="AS362" t="s">
        <v>3</v>
      </c>
      <c r="AT362">
        <v>7.0000000000000007E-2</v>
      </c>
      <c r="AU362" t="s">
        <v>3</v>
      </c>
      <c r="AV362">
        <v>0</v>
      </c>
      <c r="AW362">
        <v>2</v>
      </c>
      <c r="AX362">
        <v>48372718</v>
      </c>
      <c r="AY362">
        <v>1</v>
      </c>
      <c r="AZ362">
        <v>0</v>
      </c>
      <c r="BA362">
        <v>363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CX362">
        <f>Y362*Source!I165</f>
        <v>7.000000000000001E-4</v>
      </c>
      <c r="CY362">
        <f>AA362</f>
        <v>0</v>
      </c>
      <c r="CZ362">
        <f>AE362</f>
        <v>0</v>
      </c>
      <c r="DA362">
        <f>AI362</f>
        <v>1</v>
      </c>
      <c r="DB362">
        <v>0</v>
      </c>
    </row>
    <row r="363" spans="1:106">
      <c r="A363">
        <f>ROW(Source!A166)</f>
        <v>166</v>
      </c>
      <c r="B363">
        <v>48370320</v>
      </c>
      <c r="C363">
        <v>48372744</v>
      </c>
      <c r="D363">
        <v>23129487</v>
      </c>
      <c r="E363">
        <v>1</v>
      </c>
      <c r="F363">
        <v>1</v>
      </c>
      <c r="G363">
        <v>1</v>
      </c>
      <c r="H363">
        <v>1</v>
      </c>
      <c r="I363" t="s">
        <v>631</v>
      </c>
      <c r="J363" t="s">
        <v>3</v>
      </c>
      <c r="K363" t="s">
        <v>632</v>
      </c>
      <c r="L363">
        <v>1369</v>
      </c>
      <c r="N363">
        <v>1013</v>
      </c>
      <c r="O363" t="s">
        <v>510</v>
      </c>
      <c r="P363" t="s">
        <v>510</v>
      </c>
      <c r="Q363">
        <v>1</v>
      </c>
      <c r="W363">
        <v>0</v>
      </c>
      <c r="X363">
        <v>2002501603</v>
      </c>
      <c r="Y363">
        <v>106.6395</v>
      </c>
      <c r="AA363">
        <v>0</v>
      </c>
      <c r="AB363">
        <v>0</v>
      </c>
      <c r="AC363">
        <v>0</v>
      </c>
      <c r="AD363">
        <v>8.48</v>
      </c>
      <c r="AE363">
        <v>0</v>
      </c>
      <c r="AF363">
        <v>0</v>
      </c>
      <c r="AG363">
        <v>0</v>
      </c>
      <c r="AH363">
        <v>8.48</v>
      </c>
      <c r="AI363">
        <v>1</v>
      </c>
      <c r="AJ363">
        <v>1</v>
      </c>
      <c r="AK363">
        <v>1</v>
      </c>
      <c r="AL363">
        <v>1</v>
      </c>
      <c r="AN363">
        <v>0</v>
      </c>
      <c r="AO363">
        <v>1</v>
      </c>
      <c r="AP363">
        <v>1</v>
      </c>
      <c r="AQ363">
        <v>0</v>
      </c>
      <c r="AR363">
        <v>0</v>
      </c>
      <c r="AS363" t="s">
        <v>3</v>
      </c>
      <c r="AT363">
        <v>92.73</v>
      </c>
      <c r="AU363" t="s">
        <v>161</v>
      </c>
      <c r="AV363">
        <v>1</v>
      </c>
      <c r="AW363">
        <v>2</v>
      </c>
      <c r="AX363">
        <v>48372745</v>
      </c>
      <c r="AY363">
        <v>1</v>
      </c>
      <c r="AZ363">
        <v>0</v>
      </c>
      <c r="BA363">
        <v>364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CX363">
        <f>Y363*Source!I166</f>
        <v>4.2655799999999999</v>
      </c>
      <c r="CY363">
        <f>AD363</f>
        <v>8.48</v>
      </c>
      <c r="CZ363">
        <f>AH363</f>
        <v>8.48</v>
      </c>
      <c r="DA363">
        <f>AL363</f>
        <v>1</v>
      </c>
      <c r="DB363">
        <v>0</v>
      </c>
    </row>
    <row r="364" spans="1:106">
      <c r="A364">
        <f>ROW(Source!A166)</f>
        <v>166</v>
      </c>
      <c r="B364">
        <v>48370320</v>
      </c>
      <c r="C364">
        <v>48372744</v>
      </c>
      <c r="D364">
        <v>121548</v>
      </c>
      <c r="E364">
        <v>1</v>
      </c>
      <c r="F364">
        <v>1</v>
      </c>
      <c r="G364">
        <v>1</v>
      </c>
      <c r="H364">
        <v>1</v>
      </c>
      <c r="I364" t="s">
        <v>24</v>
      </c>
      <c r="J364" t="s">
        <v>3</v>
      </c>
      <c r="K364" t="s">
        <v>511</v>
      </c>
      <c r="L364">
        <v>608254</v>
      </c>
      <c r="N364">
        <v>1013</v>
      </c>
      <c r="O364" t="s">
        <v>512</v>
      </c>
      <c r="P364" t="s">
        <v>512</v>
      </c>
      <c r="Q364">
        <v>1</v>
      </c>
      <c r="W364">
        <v>0</v>
      </c>
      <c r="X364">
        <v>-185737400</v>
      </c>
      <c r="Y364">
        <v>1.2500000000000001E-2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1</v>
      </c>
      <c r="AJ364">
        <v>1</v>
      </c>
      <c r="AK364">
        <v>1</v>
      </c>
      <c r="AL364">
        <v>1</v>
      </c>
      <c r="AN364">
        <v>0</v>
      </c>
      <c r="AO364">
        <v>1</v>
      </c>
      <c r="AP364">
        <v>1</v>
      </c>
      <c r="AQ364">
        <v>0</v>
      </c>
      <c r="AR364">
        <v>0</v>
      </c>
      <c r="AS364" t="s">
        <v>3</v>
      </c>
      <c r="AT364">
        <v>0.01</v>
      </c>
      <c r="AU364" t="s">
        <v>160</v>
      </c>
      <c r="AV364">
        <v>2</v>
      </c>
      <c r="AW364">
        <v>2</v>
      </c>
      <c r="AX364">
        <v>48372746</v>
      </c>
      <c r="AY364">
        <v>1</v>
      </c>
      <c r="AZ364">
        <v>0</v>
      </c>
      <c r="BA364">
        <v>365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CX364">
        <f>Y364*Source!I166</f>
        <v>5.0000000000000001E-4</v>
      </c>
      <c r="CY364">
        <f>AD364</f>
        <v>0</v>
      </c>
      <c r="CZ364">
        <f>AH364</f>
        <v>0</v>
      </c>
      <c r="DA364">
        <f>AL364</f>
        <v>1</v>
      </c>
      <c r="DB364">
        <v>0</v>
      </c>
    </row>
    <row r="365" spans="1:106">
      <c r="A365">
        <f>ROW(Source!A166)</f>
        <v>166</v>
      </c>
      <c r="B365">
        <v>48370320</v>
      </c>
      <c r="C365">
        <v>48372744</v>
      </c>
      <c r="D365">
        <v>37802578</v>
      </c>
      <c r="E365">
        <v>1</v>
      </c>
      <c r="F365">
        <v>1</v>
      </c>
      <c r="G365">
        <v>1</v>
      </c>
      <c r="H365">
        <v>2</v>
      </c>
      <c r="I365" t="s">
        <v>550</v>
      </c>
      <c r="J365" t="s">
        <v>551</v>
      </c>
      <c r="K365" t="s">
        <v>552</v>
      </c>
      <c r="L365">
        <v>1368</v>
      </c>
      <c r="N365">
        <v>1011</v>
      </c>
      <c r="O365" t="s">
        <v>516</v>
      </c>
      <c r="P365" t="s">
        <v>516</v>
      </c>
      <c r="Q365">
        <v>1</v>
      </c>
      <c r="W365">
        <v>0</v>
      </c>
      <c r="X365">
        <v>1753337916</v>
      </c>
      <c r="Y365">
        <v>1.2500000000000001E-2</v>
      </c>
      <c r="AA365">
        <v>0</v>
      </c>
      <c r="AB365">
        <v>327.64</v>
      </c>
      <c r="AC365">
        <v>252.65</v>
      </c>
      <c r="AD365">
        <v>0</v>
      </c>
      <c r="AE365">
        <v>0</v>
      </c>
      <c r="AF365">
        <v>32.090000000000003</v>
      </c>
      <c r="AG365">
        <v>12.1</v>
      </c>
      <c r="AH365">
        <v>0</v>
      </c>
      <c r="AI365">
        <v>1</v>
      </c>
      <c r="AJ365">
        <v>10.210000000000001</v>
      </c>
      <c r="AK365">
        <v>20.88</v>
      </c>
      <c r="AL365">
        <v>1</v>
      </c>
      <c r="AN365">
        <v>0</v>
      </c>
      <c r="AO365">
        <v>1</v>
      </c>
      <c r="AP365">
        <v>1</v>
      </c>
      <c r="AQ365">
        <v>0</v>
      </c>
      <c r="AR365">
        <v>0</v>
      </c>
      <c r="AS365" t="s">
        <v>3</v>
      </c>
      <c r="AT365">
        <v>0.01</v>
      </c>
      <c r="AU365" t="s">
        <v>160</v>
      </c>
      <c r="AV365">
        <v>0</v>
      </c>
      <c r="AW365">
        <v>2</v>
      </c>
      <c r="AX365">
        <v>48372747</v>
      </c>
      <c r="AY365">
        <v>1</v>
      </c>
      <c r="AZ365">
        <v>0</v>
      </c>
      <c r="BA365">
        <v>366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CX365">
        <f>Y365*Source!I166</f>
        <v>5.0000000000000001E-4</v>
      </c>
      <c r="CY365">
        <f>AB365</f>
        <v>327.64</v>
      </c>
      <c r="CZ365">
        <f>AF365</f>
        <v>32.090000000000003</v>
      </c>
      <c r="DA365">
        <f>AJ365</f>
        <v>10.210000000000001</v>
      </c>
      <c r="DB365">
        <v>0</v>
      </c>
    </row>
    <row r="366" spans="1:106">
      <c r="A366">
        <f>ROW(Source!A166)</f>
        <v>166</v>
      </c>
      <c r="B366">
        <v>48370320</v>
      </c>
      <c r="C366">
        <v>48372744</v>
      </c>
      <c r="D366">
        <v>37804456</v>
      </c>
      <c r="E366">
        <v>1</v>
      </c>
      <c r="F366">
        <v>1</v>
      </c>
      <c r="G366">
        <v>1</v>
      </c>
      <c r="H366">
        <v>2</v>
      </c>
      <c r="I366" t="s">
        <v>530</v>
      </c>
      <c r="J366" t="s">
        <v>531</v>
      </c>
      <c r="K366" t="s">
        <v>532</v>
      </c>
      <c r="L366">
        <v>1368</v>
      </c>
      <c r="N366">
        <v>1011</v>
      </c>
      <c r="O366" t="s">
        <v>516</v>
      </c>
      <c r="P366" t="s">
        <v>516</v>
      </c>
      <c r="Q366">
        <v>1</v>
      </c>
      <c r="W366">
        <v>0</v>
      </c>
      <c r="X366">
        <v>-671646184</v>
      </c>
      <c r="Y366">
        <v>0.11249999999999999</v>
      </c>
      <c r="AA366">
        <v>0</v>
      </c>
      <c r="AB366">
        <v>844.19</v>
      </c>
      <c r="AC366">
        <v>216.11</v>
      </c>
      <c r="AD366">
        <v>0</v>
      </c>
      <c r="AE366">
        <v>0</v>
      </c>
      <c r="AF366">
        <v>91.76</v>
      </c>
      <c r="AG366">
        <v>10.35</v>
      </c>
      <c r="AH366">
        <v>0</v>
      </c>
      <c r="AI366">
        <v>1</v>
      </c>
      <c r="AJ366">
        <v>9.1999999999999993</v>
      </c>
      <c r="AK366">
        <v>20.88</v>
      </c>
      <c r="AL366">
        <v>1</v>
      </c>
      <c r="AN366">
        <v>0</v>
      </c>
      <c r="AO366">
        <v>1</v>
      </c>
      <c r="AP366">
        <v>1</v>
      </c>
      <c r="AQ366">
        <v>0</v>
      </c>
      <c r="AR366">
        <v>0</v>
      </c>
      <c r="AS366" t="s">
        <v>3</v>
      </c>
      <c r="AT366">
        <v>0.09</v>
      </c>
      <c r="AU366" t="s">
        <v>160</v>
      </c>
      <c r="AV366">
        <v>0</v>
      </c>
      <c r="AW366">
        <v>2</v>
      </c>
      <c r="AX366">
        <v>48372748</v>
      </c>
      <c r="AY366">
        <v>1</v>
      </c>
      <c r="AZ366">
        <v>0</v>
      </c>
      <c r="BA366">
        <v>367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CX366">
        <f>Y366*Source!I166</f>
        <v>4.4999999999999997E-3</v>
      </c>
      <c r="CY366">
        <f>AB366</f>
        <v>844.19</v>
      </c>
      <c r="CZ366">
        <f>AF366</f>
        <v>91.76</v>
      </c>
      <c r="DA366">
        <f>AJ366</f>
        <v>9.1999999999999993</v>
      </c>
      <c r="DB366">
        <v>0</v>
      </c>
    </row>
    <row r="367" spans="1:106">
      <c r="A367">
        <f>ROW(Source!A166)</f>
        <v>166</v>
      </c>
      <c r="B367">
        <v>48370320</v>
      </c>
      <c r="C367">
        <v>48372744</v>
      </c>
      <c r="D367">
        <v>37732521</v>
      </c>
      <c r="E367">
        <v>1</v>
      </c>
      <c r="F367">
        <v>1</v>
      </c>
      <c r="G367">
        <v>1</v>
      </c>
      <c r="H367">
        <v>3</v>
      </c>
      <c r="I367" t="s">
        <v>905</v>
      </c>
      <c r="J367" t="s">
        <v>906</v>
      </c>
      <c r="K367" t="s">
        <v>907</v>
      </c>
      <c r="L367">
        <v>1348</v>
      </c>
      <c r="N367">
        <v>1009</v>
      </c>
      <c r="O367" t="s">
        <v>536</v>
      </c>
      <c r="P367" t="s">
        <v>536</v>
      </c>
      <c r="Q367">
        <v>1000</v>
      </c>
      <c r="W367">
        <v>0</v>
      </c>
      <c r="X367">
        <v>100547603</v>
      </c>
      <c r="Y367">
        <v>2.4740000000000002E-2</v>
      </c>
      <c r="AA367">
        <v>59654.61</v>
      </c>
      <c r="AB367">
        <v>0</v>
      </c>
      <c r="AC367">
        <v>0</v>
      </c>
      <c r="AD367">
        <v>0</v>
      </c>
      <c r="AE367">
        <v>18243</v>
      </c>
      <c r="AF367">
        <v>0</v>
      </c>
      <c r="AG367">
        <v>0</v>
      </c>
      <c r="AH367">
        <v>0</v>
      </c>
      <c r="AI367">
        <v>3.27</v>
      </c>
      <c r="AJ367">
        <v>1</v>
      </c>
      <c r="AK367">
        <v>1</v>
      </c>
      <c r="AL367">
        <v>1</v>
      </c>
      <c r="AN367">
        <v>0</v>
      </c>
      <c r="AO367">
        <v>1</v>
      </c>
      <c r="AP367">
        <v>0</v>
      </c>
      <c r="AQ367">
        <v>0</v>
      </c>
      <c r="AR367">
        <v>0</v>
      </c>
      <c r="AS367" t="s">
        <v>3</v>
      </c>
      <c r="AT367">
        <v>2.4740000000000002E-2</v>
      </c>
      <c r="AU367" t="s">
        <v>3</v>
      </c>
      <c r="AV367">
        <v>0</v>
      </c>
      <c r="AW367">
        <v>2</v>
      </c>
      <c r="AX367">
        <v>48372749</v>
      </c>
      <c r="AY367">
        <v>1</v>
      </c>
      <c r="AZ367">
        <v>0</v>
      </c>
      <c r="BA367">
        <v>368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CX367">
        <f>Y367*Source!I166</f>
        <v>9.8959999999999998E-4</v>
      </c>
      <c r="CY367">
        <f t="shared" ref="CY367:CY372" si="27">AA367</f>
        <v>59654.61</v>
      </c>
      <c r="CZ367">
        <f t="shared" ref="CZ367:CZ372" si="28">AE367</f>
        <v>18243</v>
      </c>
      <c r="DA367">
        <f t="shared" ref="DA367:DA372" si="29">AI367</f>
        <v>3.27</v>
      </c>
      <c r="DB367">
        <v>0</v>
      </c>
    </row>
    <row r="368" spans="1:106">
      <c r="A368">
        <f>ROW(Source!A166)</f>
        <v>166</v>
      </c>
      <c r="B368">
        <v>48370320</v>
      </c>
      <c r="C368">
        <v>48372744</v>
      </c>
      <c r="D368">
        <v>37729978</v>
      </c>
      <c r="E368">
        <v>1</v>
      </c>
      <c r="F368">
        <v>1</v>
      </c>
      <c r="G368">
        <v>1</v>
      </c>
      <c r="H368">
        <v>3</v>
      </c>
      <c r="I368" t="s">
        <v>880</v>
      </c>
      <c r="J368" t="s">
        <v>881</v>
      </c>
      <c r="K368" t="s">
        <v>882</v>
      </c>
      <c r="L368">
        <v>1327</v>
      </c>
      <c r="N368">
        <v>1005</v>
      </c>
      <c r="O368" t="s">
        <v>189</v>
      </c>
      <c r="P368" t="s">
        <v>189</v>
      </c>
      <c r="Q368">
        <v>1</v>
      </c>
      <c r="W368">
        <v>0</v>
      </c>
      <c r="X368">
        <v>1290542317</v>
      </c>
      <c r="Y368">
        <v>0.84</v>
      </c>
      <c r="AA368">
        <v>207.56</v>
      </c>
      <c r="AB368">
        <v>0</v>
      </c>
      <c r="AC368">
        <v>0</v>
      </c>
      <c r="AD368">
        <v>0</v>
      </c>
      <c r="AE368">
        <v>72.319999999999993</v>
      </c>
      <c r="AF368">
        <v>0</v>
      </c>
      <c r="AG368">
        <v>0</v>
      </c>
      <c r="AH368">
        <v>0</v>
      </c>
      <c r="AI368">
        <v>2.87</v>
      </c>
      <c r="AJ368">
        <v>1</v>
      </c>
      <c r="AK368">
        <v>1</v>
      </c>
      <c r="AL368">
        <v>1</v>
      </c>
      <c r="AN368">
        <v>0</v>
      </c>
      <c r="AO368">
        <v>1</v>
      </c>
      <c r="AP368">
        <v>0</v>
      </c>
      <c r="AQ368">
        <v>0</v>
      </c>
      <c r="AR368">
        <v>0</v>
      </c>
      <c r="AS368" t="s">
        <v>3</v>
      </c>
      <c r="AT368">
        <v>0.84</v>
      </c>
      <c r="AU368" t="s">
        <v>3</v>
      </c>
      <c r="AV368">
        <v>0</v>
      </c>
      <c r="AW368">
        <v>2</v>
      </c>
      <c r="AX368">
        <v>48372750</v>
      </c>
      <c r="AY368">
        <v>1</v>
      </c>
      <c r="AZ368">
        <v>0</v>
      </c>
      <c r="BA368">
        <v>369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CX368">
        <f>Y368*Source!I166</f>
        <v>3.3599999999999998E-2</v>
      </c>
      <c r="CY368">
        <f t="shared" si="27"/>
        <v>207.56</v>
      </c>
      <c r="CZ368">
        <f t="shared" si="28"/>
        <v>72.319999999999993</v>
      </c>
      <c r="DA368">
        <f t="shared" si="29"/>
        <v>2.87</v>
      </c>
      <c r="DB368">
        <v>0</v>
      </c>
    </row>
    <row r="369" spans="1:106">
      <c r="A369">
        <f>ROW(Source!A166)</f>
        <v>166</v>
      </c>
      <c r="B369">
        <v>48370320</v>
      </c>
      <c r="C369">
        <v>48372744</v>
      </c>
      <c r="D369">
        <v>37731916</v>
      </c>
      <c r="E369">
        <v>1</v>
      </c>
      <c r="F369">
        <v>1</v>
      </c>
      <c r="G369">
        <v>1</v>
      </c>
      <c r="H369">
        <v>3</v>
      </c>
      <c r="I369" t="s">
        <v>908</v>
      </c>
      <c r="J369" t="s">
        <v>909</v>
      </c>
      <c r="K369" t="s">
        <v>910</v>
      </c>
      <c r="L369">
        <v>1348</v>
      </c>
      <c r="N369">
        <v>1009</v>
      </c>
      <c r="O369" t="s">
        <v>536</v>
      </c>
      <c r="P369" t="s">
        <v>536</v>
      </c>
      <c r="Q369">
        <v>1000</v>
      </c>
      <c r="W369">
        <v>0</v>
      </c>
      <c r="X369">
        <v>738810384</v>
      </c>
      <c r="Y369">
        <v>4.1000000000000002E-2</v>
      </c>
      <c r="AA369">
        <v>16292.38</v>
      </c>
      <c r="AB369">
        <v>0</v>
      </c>
      <c r="AC369">
        <v>0</v>
      </c>
      <c r="AD369">
        <v>0</v>
      </c>
      <c r="AE369">
        <v>2899</v>
      </c>
      <c r="AF369">
        <v>0</v>
      </c>
      <c r="AG369">
        <v>0</v>
      </c>
      <c r="AH369">
        <v>0</v>
      </c>
      <c r="AI369">
        <v>5.62</v>
      </c>
      <c r="AJ369">
        <v>1</v>
      </c>
      <c r="AK369">
        <v>1</v>
      </c>
      <c r="AL369">
        <v>1</v>
      </c>
      <c r="AN369">
        <v>0</v>
      </c>
      <c r="AO369">
        <v>1</v>
      </c>
      <c r="AP369">
        <v>0</v>
      </c>
      <c r="AQ369">
        <v>0</v>
      </c>
      <c r="AR369">
        <v>0</v>
      </c>
      <c r="AS369" t="s">
        <v>3</v>
      </c>
      <c r="AT369">
        <v>4.1000000000000002E-2</v>
      </c>
      <c r="AU369" t="s">
        <v>3</v>
      </c>
      <c r="AV369">
        <v>0</v>
      </c>
      <c r="AW369">
        <v>2</v>
      </c>
      <c r="AX369">
        <v>48372751</v>
      </c>
      <c r="AY369">
        <v>1</v>
      </c>
      <c r="AZ369">
        <v>0</v>
      </c>
      <c r="BA369">
        <v>370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CX369">
        <f>Y369*Source!I166</f>
        <v>1.6400000000000002E-3</v>
      </c>
      <c r="CY369">
        <f t="shared" si="27"/>
        <v>16292.38</v>
      </c>
      <c r="CZ369">
        <f t="shared" si="28"/>
        <v>2899</v>
      </c>
      <c r="DA369">
        <f t="shared" si="29"/>
        <v>5.62</v>
      </c>
      <c r="DB369">
        <v>0</v>
      </c>
    </row>
    <row r="370" spans="1:106">
      <c r="A370">
        <f>ROW(Source!A166)</f>
        <v>166</v>
      </c>
      <c r="B370">
        <v>48370320</v>
      </c>
      <c r="C370">
        <v>48372744</v>
      </c>
      <c r="D370">
        <v>37729991</v>
      </c>
      <c r="E370">
        <v>1</v>
      </c>
      <c r="F370">
        <v>1</v>
      </c>
      <c r="G370">
        <v>1</v>
      </c>
      <c r="H370">
        <v>3</v>
      </c>
      <c r="I370" t="s">
        <v>625</v>
      </c>
      <c r="J370" t="s">
        <v>626</v>
      </c>
      <c r="K370" t="s">
        <v>627</v>
      </c>
      <c r="L370">
        <v>1346</v>
      </c>
      <c r="N370">
        <v>1009</v>
      </c>
      <c r="O370" t="s">
        <v>172</v>
      </c>
      <c r="P370" t="s">
        <v>172</v>
      </c>
      <c r="Q370">
        <v>1</v>
      </c>
      <c r="W370">
        <v>0</v>
      </c>
      <c r="X370">
        <v>844235703</v>
      </c>
      <c r="Y370">
        <v>0.31</v>
      </c>
      <c r="AA370">
        <v>26.15</v>
      </c>
      <c r="AB370">
        <v>0</v>
      </c>
      <c r="AC370">
        <v>0</v>
      </c>
      <c r="AD370">
        <v>0</v>
      </c>
      <c r="AE370">
        <v>1.82</v>
      </c>
      <c r="AF370">
        <v>0</v>
      </c>
      <c r="AG370">
        <v>0</v>
      </c>
      <c r="AH370">
        <v>0</v>
      </c>
      <c r="AI370">
        <v>14.37</v>
      </c>
      <c r="AJ370">
        <v>1</v>
      </c>
      <c r="AK370">
        <v>1</v>
      </c>
      <c r="AL370">
        <v>1</v>
      </c>
      <c r="AN370">
        <v>0</v>
      </c>
      <c r="AO370">
        <v>1</v>
      </c>
      <c r="AP370">
        <v>0</v>
      </c>
      <c r="AQ370">
        <v>0</v>
      </c>
      <c r="AR370">
        <v>0</v>
      </c>
      <c r="AS370" t="s">
        <v>3</v>
      </c>
      <c r="AT370">
        <v>0.31</v>
      </c>
      <c r="AU370" t="s">
        <v>3</v>
      </c>
      <c r="AV370">
        <v>0</v>
      </c>
      <c r="AW370">
        <v>2</v>
      </c>
      <c r="AX370">
        <v>48372752</v>
      </c>
      <c r="AY370">
        <v>1</v>
      </c>
      <c r="AZ370">
        <v>0</v>
      </c>
      <c r="BA370">
        <v>371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CX370">
        <f>Y370*Source!I166</f>
        <v>1.24E-2</v>
      </c>
      <c r="CY370">
        <f t="shared" si="27"/>
        <v>26.15</v>
      </c>
      <c r="CZ370">
        <f t="shared" si="28"/>
        <v>1.82</v>
      </c>
      <c r="DA370">
        <f t="shared" si="29"/>
        <v>14.37</v>
      </c>
      <c r="DB370">
        <v>0</v>
      </c>
    </row>
    <row r="371" spans="1:106">
      <c r="A371">
        <f>ROW(Source!A166)</f>
        <v>166</v>
      </c>
      <c r="B371">
        <v>48370320</v>
      </c>
      <c r="C371">
        <v>48372744</v>
      </c>
      <c r="D371">
        <v>37732759</v>
      </c>
      <c r="E371">
        <v>1</v>
      </c>
      <c r="F371">
        <v>1</v>
      </c>
      <c r="G371">
        <v>1</v>
      </c>
      <c r="H371">
        <v>3</v>
      </c>
      <c r="I371" t="s">
        <v>911</v>
      </c>
      <c r="J371" t="s">
        <v>912</v>
      </c>
      <c r="K371" t="s">
        <v>913</v>
      </c>
      <c r="L371">
        <v>1348</v>
      </c>
      <c r="N371">
        <v>1009</v>
      </c>
      <c r="O371" t="s">
        <v>536</v>
      </c>
      <c r="P371" t="s">
        <v>536</v>
      </c>
      <c r="Q371">
        <v>1000</v>
      </c>
      <c r="W371">
        <v>0</v>
      </c>
      <c r="X371">
        <v>-1820565889</v>
      </c>
      <c r="Y371">
        <v>2.5000000000000001E-3</v>
      </c>
      <c r="AA371">
        <v>67905.429999999993</v>
      </c>
      <c r="AB371">
        <v>0</v>
      </c>
      <c r="AC371">
        <v>0</v>
      </c>
      <c r="AD371">
        <v>0</v>
      </c>
      <c r="AE371">
        <v>17917</v>
      </c>
      <c r="AF371">
        <v>0</v>
      </c>
      <c r="AG371">
        <v>0</v>
      </c>
      <c r="AH371">
        <v>0</v>
      </c>
      <c r="AI371">
        <v>3.79</v>
      </c>
      <c r="AJ371">
        <v>1</v>
      </c>
      <c r="AK371">
        <v>1</v>
      </c>
      <c r="AL371">
        <v>1</v>
      </c>
      <c r="AN371">
        <v>0</v>
      </c>
      <c r="AO371">
        <v>1</v>
      </c>
      <c r="AP371">
        <v>0</v>
      </c>
      <c r="AQ371">
        <v>0</v>
      </c>
      <c r="AR371">
        <v>0</v>
      </c>
      <c r="AS371" t="s">
        <v>3</v>
      </c>
      <c r="AT371">
        <v>2.5000000000000001E-3</v>
      </c>
      <c r="AU371" t="s">
        <v>3</v>
      </c>
      <c r="AV371">
        <v>0</v>
      </c>
      <c r="AW371">
        <v>2</v>
      </c>
      <c r="AX371">
        <v>48372753</v>
      </c>
      <c r="AY371">
        <v>1</v>
      </c>
      <c r="AZ371">
        <v>0</v>
      </c>
      <c r="BA371">
        <v>372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CX371">
        <f>Y371*Source!I166</f>
        <v>1E-4</v>
      </c>
      <c r="CY371">
        <f t="shared" si="27"/>
        <v>67905.429999999993</v>
      </c>
      <c r="CZ371">
        <f t="shared" si="28"/>
        <v>17917</v>
      </c>
      <c r="DA371">
        <f t="shared" si="29"/>
        <v>3.79</v>
      </c>
      <c r="DB371">
        <v>0</v>
      </c>
    </row>
    <row r="372" spans="1:106">
      <c r="A372">
        <f>ROW(Source!A166)</f>
        <v>166</v>
      </c>
      <c r="B372">
        <v>48370320</v>
      </c>
      <c r="C372">
        <v>48372744</v>
      </c>
      <c r="D372">
        <v>37777619</v>
      </c>
      <c r="E372">
        <v>1</v>
      </c>
      <c r="F372">
        <v>1</v>
      </c>
      <c r="G372">
        <v>1</v>
      </c>
      <c r="H372">
        <v>3</v>
      </c>
      <c r="I372" t="s">
        <v>914</v>
      </c>
      <c r="J372" t="s">
        <v>915</v>
      </c>
      <c r="K372" t="s">
        <v>916</v>
      </c>
      <c r="L372">
        <v>1339</v>
      </c>
      <c r="N372">
        <v>1007</v>
      </c>
      <c r="O372" t="s">
        <v>543</v>
      </c>
      <c r="P372" t="s">
        <v>543</v>
      </c>
      <c r="Q372">
        <v>1</v>
      </c>
      <c r="W372">
        <v>0</v>
      </c>
      <c r="X372">
        <v>-714105739</v>
      </c>
      <c r="Y372">
        <v>2.3999999999999998E-3</v>
      </c>
      <c r="AA372">
        <v>592.16999999999996</v>
      </c>
      <c r="AB372">
        <v>0</v>
      </c>
      <c r="AC372">
        <v>0</v>
      </c>
      <c r="AD372">
        <v>0</v>
      </c>
      <c r="AE372">
        <v>74.58</v>
      </c>
      <c r="AF372">
        <v>0</v>
      </c>
      <c r="AG372">
        <v>0</v>
      </c>
      <c r="AH372">
        <v>0</v>
      </c>
      <c r="AI372">
        <v>7.94</v>
      </c>
      <c r="AJ372">
        <v>1</v>
      </c>
      <c r="AK372">
        <v>1</v>
      </c>
      <c r="AL372">
        <v>1</v>
      </c>
      <c r="AN372">
        <v>0</v>
      </c>
      <c r="AO372">
        <v>1</v>
      </c>
      <c r="AP372">
        <v>0</v>
      </c>
      <c r="AQ372">
        <v>0</v>
      </c>
      <c r="AR372">
        <v>0</v>
      </c>
      <c r="AS372" t="s">
        <v>3</v>
      </c>
      <c r="AT372">
        <v>2.3999999999999998E-3</v>
      </c>
      <c r="AU372" t="s">
        <v>3</v>
      </c>
      <c r="AV372">
        <v>0</v>
      </c>
      <c r="AW372">
        <v>2</v>
      </c>
      <c r="AX372">
        <v>48372754</v>
      </c>
      <c r="AY372">
        <v>1</v>
      </c>
      <c r="AZ372">
        <v>0</v>
      </c>
      <c r="BA372">
        <v>373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CX372">
        <f>Y372*Source!I166</f>
        <v>9.5999999999999989E-5</v>
      </c>
      <c r="CY372">
        <f t="shared" si="27"/>
        <v>592.16999999999996</v>
      </c>
      <c r="CZ372">
        <f t="shared" si="28"/>
        <v>74.58</v>
      </c>
      <c r="DA372">
        <f t="shared" si="29"/>
        <v>7.94</v>
      </c>
      <c r="DB372">
        <v>0</v>
      </c>
    </row>
    <row r="373" spans="1:106">
      <c r="A373">
        <f>ROW(Source!A167)</f>
        <v>167</v>
      </c>
      <c r="B373">
        <v>48370320</v>
      </c>
      <c r="C373">
        <v>48372755</v>
      </c>
      <c r="D373">
        <v>23129805</v>
      </c>
      <c r="E373">
        <v>1</v>
      </c>
      <c r="F373">
        <v>1</v>
      </c>
      <c r="G373">
        <v>1</v>
      </c>
      <c r="H373">
        <v>1</v>
      </c>
      <c r="I373" t="s">
        <v>553</v>
      </c>
      <c r="J373" t="s">
        <v>3</v>
      </c>
      <c r="K373" t="s">
        <v>554</v>
      </c>
      <c r="L373">
        <v>1369</v>
      </c>
      <c r="N373">
        <v>1013</v>
      </c>
      <c r="O373" t="s">
        <v>510</v>
      </c>
      <c r="P373" t="s">
        <v>510</v>
      </c>
      <c r="Q373">
        <v>1</v>
      </c>
      <c r="W373">
        <v>0</v>
      </c>
      <c r="X373">
        <v>756115135</v>
      </c>
      <c r="Y373">
        <v>51.3</v>
      </c>
      <c r="AA373">
        <v>0</v>
      </c>
      <c r="AB373">
        <v>0</v>
      </c>
      <c r="AC373">
        <v>0</v>
      </c>
      <c r="AD373">
        <v>7.97</v>
      </c>
      <c r="AE373">
        <v>0</v>
      </c>
      <c r="AF373">
        <v>0</v>
      </c>
      <c r="AG373">
        <v>0</v>
      </c>
      <c r="AH373">
        <v>7.97</v>
      </c>
      <c r="AI373">
        <v>1</v>
      </c>
      <c r="AJ373">
        <v>1</v>
      </c>
      <c r="AK373">
        <v>1</v>
      </c>
      <c r="AL373">
        <v>1</v>
      </c>
      <c r="AN373">
        <v>0</v>
      </c>
      <c r="AO373">
        <v>1</v>
      </c>
      <c r="AP373">
        <v>0</v>
      </c>
      <c r="AQ373">
        <v>0</v>
      </c>
      <c r="AR373">
        <v>0</v>
      </c>
      <c r="AS373" t="s">
        <v>3</v>
      </c>
      <c r="AT373">
        <v>51.3</v>
      </c>
      <c r="AU373" t="s">
        <v>3</v>
      </c>
      <c r="AV373">
        <v>1</v>
      </c>
      <c r="AW373">
        <v>2</v>
      </c>
      <c r="AX373">
        <v>48372760</v>
      </c>
      <c r="AY373">
        <v>1</v>
      </c>
      <c r="AZ373">
        <v>0</v>
      </c>
      <c r="BA373">
        <v>374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CX373">
        <f>Y373*Source!I167</f>
        <v>0.51300000000000001</v>
      </c>
      <c r="CY373">
        <f>AD373</f>
        <v>7.97</v>
      </c>
      <c r="CZ373">
        <f>AH373</f>
        <v>7.97</v>
      </c>
      <c r="DA373">
        <f>AL373</f>
        <v>1</v>
      </c>
      <c r="DB373">
        <v>0</v>
      </c>
    </row>
    <row r="374" spans="1:106">
      <c r="A374">
        <f>ROW(Source!A167)</f>
        <v>167</v>
      </c>
      <c r="B374">
        <v>48370320</v>
      </c>
      <c r="C374">
        <v>48372755</v>
      </c>
      <c r="D374">
        <v>121548</v>
      </c>
      <c r="E374">
        <v>1</v>
      </c>
      <c r="F374">
        <v>1</v>
      </c>
      <c r="G374">
        <v>1</v>
      </c>
      <c r="H374">
        <v>1</v>
      </c>
      <c r="I374" t="s">
        <v>24</v>
      </c>
      <c r="J374" t="s">
        <v>3</v>
      </c>
      <c r="K374" t="s">
        <v>511</v>
      </c>
      <c r="L374">
        <v>608254</v>
      </c>
      <c r="N374">
        <v>1013</v>
      </c>
      <c r="O374" t="s">
        <v>512</v>
      </c>
      <c r="P374" t="s">
        <v>512</v>
      </c>
      <c r="Q374">
        <v>1</v>
      </c>
      <c r="W374">
        <v>0</v>
      </c>
      <c r="X374">
        <v>-185737400</v>
      </c>
      <c r="Y374">
        <v>0.26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1</v>
      </c>
      <c r="AJ374">
        <v>1</v>
      </c>
      <c r="AK374">
        <v>1</v>
      </c>
      <c r="AL374">
        <v>1</v>
      </c>
      <c r="AN374">
        <v>0</v>
      </c>
      <c r="AO374">
        <v>1</v>
      </c>
      <c r="AP374">
        <v>0</v>
      </c>
      <c r="AQ374">
        <v>0</v>
      </c>
      <c r="AR374">
        <v>0</v>
      </c>
      <c r="AS374" t="s">
        <v>3</v>
      </c>
      <c r="AT374">
        <v>0.26</v>
      </c>
      <c r="AU374" t="s">
        <v>3</v>
      </c>
      <c r="AV374">
        <v>2</v>
      </c>
      <c r="AW374">
        <v>2</v>
      </c>
      <c r="AX374">
        <v>48372761</v>
      </c>
      <c r="AY374">
        <v>1</v>
      </c>
      <c r="AZ374">
        <v>0</v>
      </c>
      <c r="BA374">
        <v>375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CX374">
        <f>Y374*Source!I167</f>
        <v>2.6000000000000003E-3</v>
      </c>
      <c r="CY374">
        <f>AD374</f>
        <v>0</v>
      </c>
      <c r="CZ374">
        <f>AH374</f>
        <v>0</v>
      </c>
      <c r="DA374">
        <f>AL374</f>
        <v>1</v>
      </c>
      <c r="DB374">
        <v>0</v>
      </c>
    </row>
    <row r="375" spans="1:106">
      <c r="A375">
        <f>ROW(Source!A167)</f>
        <v>167</v>
      </c>
      <c r="B375">
        <v>48370320</v>
      </c>
      <c r="C375">
        <v>48372755</v>
      </c>
      <c r="D375">
        <v>37802578</v>
      </c>
      <c r="E375">
        <v>1</v>
      </c>
      <c r="F375">
        <v>1</v>
      </c>
      <c r="G375">
        <v>1</v>
      </c>
      <c r="H375">
        <v>2</v>
      </c>
      <c r="I375" t="s">
        <v>550</v>
      </c>
      <c r="J375" t="s">
        <v>551</v>
      </c>
      <c r="K375" t="s">
        <v>552</v>
      </c>
      <c r="L375">
        <v>1368</v>
      </c>
      <c r="N375">
        <v>1011</v>
      </c>
      <c r="O375" t="s">
        <v>516</v>
      </c>
      <c r="P375" t="s">
        <v>516</v>
      </c>
      <c r="Q375">
        <v>1</v>
      </c>
      <c r="W375">
        <v>0</v>
      </c>
      <c r="X375">
        <v>1753337916</v>
      </c>
      <c r="Y375">
        <v>0.26</v>
      </c>
      <c r="AA375">
        <v>0</v>
      </c>
      <c r="AB375">
        <v>327.64</v>
      </c>
      <c r="AC375">
        <v>252.65</v>
      </c>
      <c r="AD375">
        <v>0</v>
      </c>
      <c r="AE375">
        <v>0</v>
      </c>
      <c r="AF375">
        <v>32.090000000000003</v>
      </c>
      <c r="AG375">
        <v>12.1</v>
      </c>
      <c r="AH375">
        <v>0</v>
      </c>
      <c r="AI375">
        <v>1</v>
      </c>
      <c r="AJ375">
        <v>10.210000000000001</v>
      </c>
      <c r="AK375">
        <v>20.88</v>
      </c>
      <c r="AL375">
        <v>1</v>
      </c>
      <c r="AN375">
        <v>0</v>
      </c>
      <c r="AO375">
        <v>1</v>
      </c>
      <c r="AP375">
        <v>0</v>
      </c>
      <c r="AQ375">
        <v>0</v>
      </c>
      <c r="AR375">
        <v>0</v>
      </c>
      <c r="AS375" t="s">
        <v>3</v>
      </c>
      <c r="AT375">
        <v>0.26</v>
      </c>
      <c r="AU375" t="s">
        <v>3</v>
      </c>
      <c r="AV375">
        <v>0</v>
      </c>
      <c r="AW375">
        <v>2</v>
      </c>
      <c r="AX375">
        <v>48372762</v>
      </c>
      <c r="AY375">
        <v>1</v>
      </c>
      <c r="AZ375">
        <v>0</v>
      </c>
      <c r="BA375">
        <v>376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CX375">
        <f>Y375*Source!I167</f>
        <v>2.6000000000000003E-3</v>
      </c>
      <c r="CY375">
        <f>AB375</f>
        <v>327.64</v>
      </c>
      <c r="CZ375">
        <f>AF375</f>
        <v>32.090000000000003</v>
      </c>
      <c r="DA375">
        <f>AJ375</f>
        <v>10.210000000000001</v>
      </c>
      <c r="DB375">
        <v>0</v>
      </c>
    </row>
    <row r="376" spans="1:106">
      <c r="A376">
        <f>ROW(Source!A167)</f>
        <v>167</v>
      </c>
      <c r="B376">
        <v>48370320</v>
      </c>
      <c r="C376">
        <v>48372755</v>
      </c>
      <c r="D376">
        <v>37792788</v>
      </c>
      <c r="E376">
        <v>1</v>
      </c>
      <c r="F376">
        <v>1</v>
      </c>
      <c r="G376">
        <v>1</v>
      </c>
      <c r="H376">
        <v>3</v>
      </c>
      <c r="I376" t="s">
        <v>564</v>
      </c>
      <c r="J376" t="s">
        <v>565</v>
      </c>
      <c r="K376" t="s">
        <v>566</v>
      </c>
      <c r="L376">
        <v>1348</v>
      </c>
      <c r="N376">
        <v>1009</v>
      </c>
      <c r="O376" t="s">
        <v>536</v>
      </c>
      <c r="P376" t="s">
        <v>536</v>
      </c>
      <c r="Q376">
        <v>1000</v>
      </c>
      <c r="W376">
        <v>0</v>
      </c>
      <c r="X376">
        <v>-856488199</v>
      </c>
      <c r="Y376">
        <v>1.82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1</v>
      </c>
      <c r="AJ376">
        <v>1</v>
      </c>
      <c r="AK376">
        <v>1</v>
      </c>
      <c r="AL376">
        <v>1</v>
      </c>
      <c r="AN376">
        <v>0</v>
      </c>
      <c r="AO376">
        <v>0</v>
      </c>
      <c r="AP376">
        <v>0</v>
      </c>
      <c r="AQ376">
        <v>0</v>
      </c>
      <c r="AR376">
        <v>0</v>
      </c>
      <c r="AS376" t="s">
        <v>3</v>
      </c>
      <c r="AT376">
        <v>1.82</v>
      </c>
      <c r="AU376" t="s">
        <v>3</v>
      </c>
      <c r="AV376">
        <v>0</v>
      </c>
      <c r="AW376">
        <v>2</v>
      </c>
      <c r="AX376">
        <v>48372763</v>
      </c>
      <c r="AY376">
        <v>1</v>
      </c>
      <c r="AZ376">
        <v>0</v>
      </c>
      <c r="BA376">
        <v>377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CX376">
        <f>Y376*Source!I167</f>
        <v>1.8200000000000001E-2</v>
      </c>
      <c r="CY376">
        <f>AA376</f>
        <v>0</v>
      </c>
      <c r="CZ376">
        <f>AE376</f>
        <v>0</v>
      </c>
      <c r="DA376">
        <f>AI376</f>
        <v>1</v>
      </c>
      <c r="DB376">
        <v>0</v>
      </c>
    </row>
    <row r="377" spans="1:106">
      <c r="A377">
        <f>ROW(Source!A168)</f>
        <v>168</v>
      </c>
      <c r="B377">
        <v>48370320</v>
      </c>
      <c r="C377">
        <v>48372764</v>
      </c>
      <c r="D377">
        <v>23135499</v>
      </c>
      <c r="E377">
        <v>1</v>
      </c>
      <c r="F377">
        <v>1</v>
      </c>
      <c r="G377">
        <v>1</v>
      </c>
      <c r="H377">
        <v>1</v>
      </c>
      <c r="I377" t="s">
        <v>623</v>
      </c>
      <c r="J377" t="s">
        <v>3</v>
      </c>
      <c r="K377" t="s">
        <v>624</v>
      </c>
      <c r="L377">
        <v>1369</v>
      </c>
      <c r="N377">
        <v>1013</v>
      </c>
      <c r="O377" t="s">
        <v>510</v>
      </c>
      <c r="P377" t="s">
        <v>510</v>
      </c>
      <c r="Q377">
        <v>1</v>
      </c>
      <c r="W377">
        <v>0</v>
      </c>
      <c r="X377">
        <v>-499460097</v>
      </c>
      <c r="Y377">
        <v>24.897499999999997</v>
      </c>
      <c r="AA377">
        <v>0</v>
      </c>
      <c r="AB377">
        <v>0</v>
      </c>
      <c r="AC377">
        <v>0</v>
      </c>
      <c r="AD377">
        <v>8.99</v>
      </c>
      <c r="AE377">
        <v>0</v>
      </c>
      <c r="AF377">
        <v>0</v>
      </c>
      <c r="AG377">
        <v>0</v>
      </c>
      <c r="AH377">
        <v>8.99</v>
      </c>
      <c r="AI377">
        <v>1</v>
      </c>
      <c r="AJ377">
        <v>1</v>
      </c>
      <c r="AK377">
        <v>1</v>
      </c>
      <c r="AL377">
        <v>1</v>
      </c>
      <c r="AN377">
        <v>0</v>
      </c>
      <c r="AO377">
        <v>1</v>
      </c>
      <c r="AP377">
        <v>1</v>
      </c>
      <c r="AQ377">
        <v>0</v>
      </c>
      <c r="AR377">
        <v>0</v>
      </c>
      <c r="AS377" t="s">
        <v>3</v>
      </c>
      <c r="AT377">
        <v>21.65</v>
      </c>
      <c r="AU377" t="s">
        <v>161</v>
      </c>
      <c r="AV377">
        <v>1</v>
      </c>
      <c r="AW377">
        <v>2</v>
      </c>
      <c r="AX377">
        <v>48372778</v>
      </c>
      <c r="AY377">
        <v>1</v>
      </c>
      <c r="AZ377">
        <v>0</v>
      </c>
      <c r="BA377">
        <v>378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CX377">
        <f>Y377*Source!I168</f>
        <v>2.4897499999999999</v>
      </c>
      <c r="CY377">
        <f>AD377</f>
        <v>8.99</v>
      </c>
      <c r="CZ377">
        <f>AH377</f>
        <v>8.99</v>
      </c>
      <c r="DA377">
        <f>AL377</f>
        <v>1</v>
      </c>
      <c r="DB377">
        <v>0</v>
      </c>
    </row>
    <row r="378" spans="1:106">
      <c r="A378">
        <f>ROW(Source!A168)</f>
        <v>168</v>
      </c>
      <c r="B378">
        <v>48370320</v>
      </c>
      <c r="C378">
        <v>48372764</v>
      </c>
      <c r="D378">
        <v>121548</v>
      </c>
      <c r="E378">
        <v>1</v>
      </c>
      <c r="F378">
        <v>1</v>
      </c>
      <c r="G378">
        <v>1</v>
      </c>
      <c r="H378">
        <v>1</v>
      </c>
      <c r="I378" t="s">
        <v>24</v>
      </c>
      <c r="J378" t="s">
        <v>3</v>
      </c>
      <c r="K378" t="s">
        <v>511</v>
      </c>
      <c r="L378">
        <v>608254</v>
      </c>
      <c r="N378">
        <v>1013</v>
      </c>
      <c r="O378" t="s">
        <v>512</v>
      </c>
      <c r="P378" t="s">
        <v>512</v>
      </c>
      <c r="Q378">
        <v>1</v>
      </c>
      <c r="W378">
        <v>0</v>
      </c>
      <c r="X378">
        <v>-185737400</v>
      </c>
      <c r="Y378">
        <v>0.16250000000000001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1</v>
      </c>
      <c r="AJ378">
        <v>1</v>
      </c>
      <c r="AK378">
        <v>1</v>
      </c>
      <c r="AL378">
        <v>1</v>
      </c>
      <c r="AN378">
        <v>0</v>
      </c>
      <c r="AO378">
        <v>1</v>
      </c>
      <c r="AP378">
        <v>1</v>
      </c>
      <c r="AQ378">
        <v>0</v>
      </c>
      <c r="AR378">
        <v>0</v>
      </c>
      <c r="AS378" t="s">
        <v>3</v>
      </c>
      <c r="AT378">
        <v>0.13</v>
      </c>
      <c r="AU378" t="s">
        <v>160</v>
      </c>
      <c r="AV378">
        <v>2</v>
      </c>
      <c r="AW378">
        <v>2</v>
      </c>
      <c r="AX378">
        <v>48372779</v>
      </c>
      <c r="AY378">
        <v>1</v>
      </c>
      <c r="AZ378">
        <v>0</v>
      </c>
      <c r="BA378">
        <v>379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CX378">
        <f>Y378*Source!I168</f>
        <v>1.6250000000000001E-2</v>
      </c>
      <c r="CY378">
        <f>AD378</f>
        <v>0</v>
      </c>
      <c r="CZ378">
        <f>AH378</f>
        <v>0</v>
      </c>
      <c r="DA378">
        <f>AL378</f>
        <v>1</v>
      </c>
      <c r="DB378">
        <v>0</v>
      </c>
    </row>
    <row r="379" spans="1:106">
      <c r="A379">
        <f>ROW(Source!A168)</f>
        <v>168</v>
      </c>
      <c r="B379">
        <v>48370320</v>
      </c>
      <c r="C379">
        <v>48372764</v>
      </c>
      <c r="D379">
        <v>37802578</v>
      </c>
      <c r="E379">
        <v>1</v>
      </c>
      <c r="F379">
        <v>1</v>
      </c>
      <c r="G379">
        <v>1</v>
      </c>
      <c r="H379">
        <v>2</v>
      </c>
      <c r="I379" t="s">
        <v>550</v>
      </c>
      <c r="J379" t="s">
        <v>551</v>
      </c>
      <c r="K379" t="s">
        <v>552</v>
      </c>
      <c r="L379">
        <v>1368</v>
      </c>
      <c r="N379">
        <v>1011</v>
      </c>
      <c r="O379" t="s">
        <v>516</v>
      </c>
      <c r="P379" t="s">
        <v>516</v>
      </c>
      <c r="Q379">
        <v>1</v>
      </c>
      <c r="W379">
        <v>0</v>
      </c>
      <c r="X379">
        <v>1753337916</v>
      </c>
      <c r="Y379">
        <v>0.16250000000000001</v>
      </c>
      <c r="AA379">
        <v>0</v>
      </c>
      <c r="AB379">
        <v>327.64</v>
      </c>
      <c r="AC379">
        <v>252.65</v>
      </c>
      <c r="AD379">
        <v>0</v>
      </c>
      <c r="AE379">
        <v>0</v>
      </c>
      <c r="AF379">
        <v>32.090000000000003</v>
      </c>
      <c r="AG379">
        <v>12.1</v>
      </c>
      <c r="AH379">
        <v>0</v>
      </c>
      <c r="AI379">
        <v>1</v>
      </c>
      <c r="AJ379">
        <v>10.210000000000001</v>
      </c>
      <c r="AK379">
        <v>20.88</v>
      </c>
      <c r="AL379">
        <v>1</v>
      </c>
      <c r="AN379">
        <v>0</v>
      </c>
      <c r="AO379">
        <v>1</v>
      </c>
      <c r="AP379">
        <v>1</v>
      </c>
      <c r="AQ379">
        <v>0</v>
      </c>
      <c r="AR379">
        <v>0</v>
      </c>
      <c r="AS379" t="s">
        <v>3</v>
      </c>
      <c r="AT379">
        <v>0.13</v>
      </c>
      <c r="AU379" t="s">
        <v>160</v>
      </c>
      <c r="AV379">
        <v>0</v>
      </c>
      <c r="AW379">
        <v>2</v>
      </c>
      <c r="AX379">
        <v>48372780</v>
      </c>
      <c r="AY379">
        <v>1</v>
      </c>
      <c r="AZ379">
        <v>0</v>
      </c>
      <c r="BA379">
        <v>380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CX379">
        <f>Y379*Source!I168</f>
        <v>1.6250000000000001E-2</v>
      </c>
      <c r="CY379">
        <f>AB379</f>
        <v>327.64</v>
      </c>
      <c r="CZ379">
        <f>AF379</f>
        <v>32.090000000000003</v>
      </c>
      <c r="DA379">
        <f>AJ379</f>
        <v>10.210000000000001</v>
      </c>
      <c r="DB379">
        <v>0</v>
      </c>
    </row>
    <row r="380" spans="1:106">
      <c r="A380">
        <f>ROW(Source!A168)</f>
        <v>168</v>
      </c>
      <c r="B380">
        <v>48370320</v>
      </c>
      <c r="C380">
        <v>48372764</v>
      </c>
      <c r="D380">
        <v>37804065</v>
      </c>
      <c r="E380">
        <v>1</v>
      </c>
      <c r="F380">
        <v>1</v>
      </c>
      <c r="G380">
        <v>1</v>
      </c>
      <c r="H380">
        <v>2</v>
      </c>
      <c r="I380" t="s">
        <v>690</v>
      </c>
      <c r="J380" t="s">
        <v>691</v>
      </c>
      <c r="K380" t="s">
        <v>692</v>
      </c>
      <c r="L380">
        <v>1368</v>
      </c>
      <c r="N380">
        <v>1011</v>
      </c>
      <c r="O380" t="s">
        <v>516</v>
      </c>
      <c r="P380" t="s">
        <v>516</v>
      </c>
      <c r="Q380">
        <v>1</v>
      </c>
      <c r="W380">
        <v>0</v>
      </c>
      <c r="X380">
        <v>835824343</v>
      </c>
      <c r="Y380">
        <v>0.25</v>
      </c>
      <c r="AA380">
        <v>0</v>
      </c>
      <c r="AB380">
        <v>9.74</v>
      </c>
      <c r="AC380">
        <v>0</v>
      </c>
      <c r="AD380">
        <v>0</v>
      </c>
      <c r="AE380">
        <v>0</v>
      </c>
      <c r="AF380">
        <v>2.15</v>
      </c>
      <c r="AG380">
        <v>0</v>
      </c>
      <c r="AH380">
        <v>0</v>
      </c>
      <c r="AI380">
        <v>1</v>
      </c>
      <c r="AJ380">
        <v>4.53</v>
      </c>
      <c r="AK380">
        <v>20.88</v>
      </c>
      <c r="AL380">
        <v>1</v>
      </c>
      <c r="AN380">
        <v>0</v>
      </c>
      <c r="AO380">
        <v>1</v>
      </c>
      <c r="AP380">
        <v>1</v>
      </c>
      <c r="AQ380">
        <v>0</v>
      </c>
      <c r="AR380">
        <v>0</v>
      </c>
      <c r="AS380" t="s">
        <v>3</v>
      </c>
      <c r="AT380">
        <v>0.2</v>
      </c>
      <c r="AU380" t="s">
        <v>160</v>
      </c>
      <c r="AV380">
        <v>0</v>
      </c>
      <c r="AW380">
        <v>2</v>
      </c>
      <c r="AX380">
        <v>48372781</v>
      </c>
      <c r="AY380">
        <v>1</v>
      </c>
      <c r="AZ380">
        <v>0</v>
      </c>
      <c r="BA380">
        <v>381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CX380">
        <f>Y380*Source!I168</f>
        <v>2.5000000000000001E-2</v>
      </c>
      <c r="CY380">
        <f>AB380</f>
        <v>9.74</v>
      </c>
      <c r="CZ380">
        <f>AF380</f>
        <v>2.15</v>
      </c>
      <c r="DA380">
        <f>AJ380</f>
        <v>4.53</v>
      </c>
      <c r="DB380">
        <v>0</v>
      </c>
    </row>
    <row r="381" spans="1:106">
      <c r="A381">
        <f>ROW(Source!A168)</f>
        <v>168</v>
      </c>
      <c r="B381">
        <v>48370320</v>
      </c>
      <c r="C381">
        <v>48372764</v>
      </c>
      <c r="D381">
        <v>37804456</v>
      </c>
      <c r="E381">
        <v>1</v>
      </c>
      <c r="F381">
        <v>1</v>
      </c>
      <c r="G381">
        <v>1</v>
      </c>
      <c r="H381">
        <v>2</v>
      </c>
      <c r="I381" t="s">
        <v>530</v>
      </c>
      <c r="J381" t="s">
        <v>531</v>
      </c>
      <c r="K381" t="s">
        <v>532</v>
      </c>
      <c r="L381">
        <v>1368</v>
      </c>
      <c r="N381">
        <v>1011</v>
      </c>
      <c r="O381" t="s">
        <v>516</v>
      </c>
      <c r="P381" t="s">
        <v>516</v>
      </c>
      <c r="Q381">
        <v>1</v>
      </c>
      <c r="W381">
        <v>0</v>
      </c>
      <c r="X381">
        <v>-671646184</v>
      </c>
      <c r="Y381">
        <v>0.27500000000000002</v>
      </c>
      <c r="AA381">
        <v>0</v>
      </c>
      <c r="AB381">
        <v>844.19</v>
      </c>
      <c r="AC381">
        <v>216.11</v>
      </c>
      <c r="AD381">
        <v>0</v>
      </c>
      <c r="AE381">
        <v>0</v>
      </c>
      <c r="AF381">
        <v>91.76</v>
      </c>
      <c r="AG381">
        <v>10.35</v>
      </c>
      <c r="AH381">
        <v>0</v>
      </c>
      <c r="AI381">
        <v>1</v>
      </c>
      <c r="AJ381">
        <v>9.1999999999999993</v>
      </c>
      <c r="AK381">
        <v>20.88</v>
      </c>
      <c r="AL381">
        <v>1</v>
      </c>
      <c r="AN381">
        <v>0</v>
      </c>
      <c r="AO381">
        <v>1</v>
      </c>
      <c r="AP381">
        <v>1</v>
      </c>
      <c r="AQ381">
        <v>0</v>
      </c>
      <c r="AR381">
        <v>0</v>
      </c>
      <c r="AS381" t="s">
        <v>3</v>
      </c>
      <c r="AT381">
        <v>0.22</v>
      </c>
      <c r="AU381" t="s">
        <v>160</v>
      </c>
      <c r="AV381">
        <v>0</v>
      </c>
      <c r="AW381">
        <v>2</v>
      </c>
      <c r="AX381">
        <v>48372782</v>
      </c>
      <c r="AY381">
        <v>1</v>
      </c>
      <c r="AZ381">
        <v>0</v>
      </c>
      <c r="BA381">
        <v>382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CX381">
        <f>Y381*Source!I168</f>
        <v>2.7500000000000004E-2</v>
      </c>
      <c r="CY381">
        <f>AB381</f>
        <v>844.19</v>
      </c>
      <c r="CZ381">
        <f>AF381</f>
        <v>91.76</v>
      </c>
      <c r="DA381">
        <f>AJ381</f>
        <v>9.1999999999999993</v>
      </c>
      <c r="DB381">
        <v>0</v>
      </c>
    </row>
    <row r="382" spans="1:106">
      <c r="A382">
        <f>ROW(Source!A168)</f>
        <v>168</v>
      </c>
      <c r="B382">
        <v>48370320</v>
      </c>
      <c r="C382">
        <v>48372764</v>
      </c>
      <c r="D382">
        <v>37732516</v>
      </c>
      <c r="E382">
        <v>1</v>
      </c>
      <c r="F382">
        <v>1</v>
      </c>
      <c r="G382">
        <v>1</v>
      </c>
      <c r="H382">
        <v>3</v>
      </c>
      <c r="I382" t="s">
        <v>723</v>
      </c>
      <c r="J382" t="s">
        <v>724</v>
      </c>
      <c r="K382" t="s">
        <v>725</v>
      </c>
      <c r="L382">
        <v>1348</v>
      </c>
      <c r="N382">
        <v>1009</v>
      </c>
      <c r="O382" t="s">
        <v>536</v>
      </c>
      <c r="P382" t="s">
        <v>536</v>
      </c>
      <c r="Q382">
        <v>1000</v>
      </c>
      <c r="W382">
        <v>0</v>
      </c>
      <c r="X382">
        <v>593844519</v>
      </c>
      <c r="Y382">
        <v>0</v>
      </c>
      <c r="AA382">
        <v>52611.02</v>
      </c>
      <c r="AB382">
        <v>0</v>
      </c>
      <c r="AC382">
        <v>0</v>
      </c>
      <c r="AD382">
        <v>0</v>
      </c>
      <c r="AE382">
        <v>20713</v>
      </c>
      <c r="AF382">
        <v>0</v>
      </c>
      <c r="AG382">
        <v>0</v>
      </c>
      <c r="AH382">
        <v>0</v>
      </c>
      <c r="AI382">
        <v>2.54</v>
      </c>
      <c r="AJ382">
        <v>1</v>
      </c>
      <c r="AK382">
        <v>1</v>
      </c>
      <c r="AL382">
        <v>1</v>
      </c>
      <c r="AN382">
        <v>0</v>
      </c>
      <c r="AO382">
        <v>1</v>
      </c>
      <c r="AP382">
        <v>1</v>
      </c>
      <c r="AQ382">
        <v>0</v>
      </c>
      <c r="AR382">
        <v>0</v>
      </c>
      <c r="AS382" t="s">
        <v>3</v>
      </c>
      <c r="AT382">
        <v>4.0000000000000002E-4</v>
      </c>
      <c r="AU382" t="s">
        <v>230</v>
      </c>
      <c r="AV382">
        <v>0</v>
      </c>
      <c r="AW382">
        <v>2</v>
      </c>
      <c r="AX382">
        <v>48372783</v>
      </c>
      <c r="AY382">
        <v>1</v>
      </c>
      <c r="AZ382">
        <v>0</v>
      </c>
      <c r="BA382">
        <v>383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CX382">
        <f>Y382*Source!I168</f>
        <v>0</v>
      </c>
      <c r="CY382">
        <f t="shared" ref="CY382:CY389" si="30">AA382</f>
        <v>52611.02</v>
      </c>
      <c r="CZ382">
        <f t="shared" ref="CZ382:CZ389" si="31">AE382</f>
        <v>20713</v>
      </c>
      <c r="DA382">
        <f t="shared" ref="DA382:DA389" si="32">AI382</f>
        <v>2.54</v>
      </c>
      <c r="DB382">
        <v>0</v>
      </c>
    </row>
    <row r="383" spans="1:106">
      <c r="A383">
        <f>ROW(Source!A168)</f>
        <v>168</v>
      </c>
      <c r="B383">
        <v>48370320</v>
      </c>
      <c r="C383">
        <v>48372764</v>
      </c>
      <c r="D383">
        <v>37732761</v>
      </c>
      <c r="E383">
        <v>1</v>
      </c>
      <c r="F383">
        <v>1</v>
      </c>
      <c r="G383">
        <v>1</v>
      </c>
      <c r="H383">
        <v>3</v>
      </c>
      <c r="I383" t="s">
        <v>726</v>
      </c>
      <c r="J383" t="s">
        <v>727</v>
      </c>
      <c r="K383" t="s">
        <v>728</v>
      </c>
      <c r="L383">
        <v>1348</v>
      </c>
      <c r="N383">
        <v>1009</v>
      </c>
      <c r="O383" t="s">
        <v>536</v>
      </c>
      <c r="P383" t="s">
        <v>536</v>
      </c>
      <c r="Q383">
        <v>1000</v>
      </c>
      <c r="W383">
        <v>0</v>
      </c>
      <c r="X383">
        <v>-1171140754</v>
      </c>
      <c r="Y383">
        <v>0</v>
      </c>
      <c r="AA383">
        <v>64680.37</v>
      </c>
      <c r="AB383">
        <v>0</v>
      </c>
      <c r="AC383">
        <v>0</v>
      </c>
      <c r="AD383">
        <v>0</v>
      </c>
      <c r="AE383">
        <v>17917</v>
      </c>
      <c r="AF383">
        <v>0</v>
      </c>
      <c r="AG383">
        <v>0</v>
      </c>
      <c r="AH383">
        <v>0</v>
      </c>
      <c r="AI383">
        <v>3.61</v>
      </c>
      <c r="AJ383">
        <v>1</v>
      </c>
      <c r="AK383">
        <v>1</v>
      </c>
      <c r="AL383">
        <v>1</v>
      </c>
      <c r="AN383">
        <v>0</v>
      </c>
      <c r="AO383">
        <v>1</v>
      </c>
      <c r="AP383">
        <v>1</v>
      </c>
      <c r="AQ383">
        <v>0</v>
      </c>
      <c r="AR383">
        <v>0</v>
      </c>
      <c r="AS383" t="s">
        <v>3</v>
      </c>
      <c r="AT383">
        <v>2.0000000000000001E-4</v>
      </c>
      <c r="AU383" t="s">
        <v>230</v>
      </c>
      <c r="AV383">
        <v>0</v>
      </c>
      <c r="AW383">
        <v>2</v>
      </c>
      <c r="AX383">
        <v>48372784</v>
      </c>
      <c r="AY383">
        <v>1</v>
      </c>
      <c r="AZ383">
        <v>0</v>
      </c>
      <c r="BA383">
        <v>384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CX383">
        <f>Y383*Source!I168</f>
        <v>0</v>
      </c>
      <c r="CY383">
        <f t="shared" si="30"/>
        <v>64680.37</v>
      </c>
      <c r="CZ383">
        <f t="shared" si="31"/>
        <v>17917</v>
      </c>
      <c r="DA383">
        <f t="shared" si="32"/>
        <v>3.61</v>
      </c>
      <c r="DB383">
        <v>0</v>
      </c>
    </row>
    <row r="384" spans="1:106">
      <c r="A384">
        <f>ROW(Source!A168)</f>
        <v>168</v>
      </c>
      <c r="B384">
        <v>48370320</v>
      </c>
      <c r="C384">
        <v>48372764</v>
      </c>
      <c r="D384">
        <v>37735405</v>
      </c>
      <c r="E384">
        <v>1</v>
      </c>
      <c r="F384">
        <v>1</v>
      </c>
      <c r="G384">
        <v>1</v>
      </c>
      <c r="H384">
        <v>3</v>
      </c>
      <c r="I384" t="s">
        <v>729</v>
      </c>
      <c r="J384" t="s">
        <v>730</v>
      </c>
      <c r="K384" t="s">
        <v>731</v>
      </c>
      <c r="L384">
        <v>1348</v>
      </c>
      <c r="N384">
        <v>1009</v>
      </c>
      <c r="O384" t="s">
        <v>536</v>
      </c>
      <c r="P384" t="s">
        <v>536</v>
      </c>
      <c r="Q384">
        <v>1000</v>
      </c>
      <c r="W384">
        <v>0</v>
      </c>
      <c r="X384">
        <v>-2108161735</v>
      </c>
      <c r="Y384">
        <v>0</v>
      </c>
      <c r="AA384">
        <v>35275.21</v>
      </c>
      <c r="AB384">
        <v>0</v>
      </c>
      <c r="AC384">
        <v>0</v>
      </c>
      <c r="AD384">
        <v>0</v>
      </c>
      <c r="AE384">
        <v>5989</v>
      </c>
      <c r="AF384">
        <v>0</v>
      </c>
      <c r="AG384">
        <v>0</v>
      </c>
      <c r="AH384">
        <v>0</v>
      </c>
      <c r="AI384">
        <v>5.89</v>
      </c>
      <c r="AJ384">
        <v>1</v>
      </c>
      <c r="AK384">
        <v>1</v>
      </c>
      <c r="AL384">
        <v>1</v>
      </c>
      <c r="AN384">
        <v>0</v>
      </c>
      <c r="AO384">
        <v>1</v>
      </c>
      <c r="AP384">
        <v>1</v>
      </c>
      <c r="AQ384">
        <v>0</v>
      </c>
      <c r="AR384">
        <v>0</v>
      </c>
      <c r="AS384" t="s">
        <v>3</v>
      </c>
      <c r="AT384">
        <v>3.5999999999999999E-3</v>
      </c>
      <c r="AU384" t="s">
        <v>230</v>
      </c>
      <c r="AV384">
        <v>0</v>
      </c>
      <c r="AW384">
        <v>2</v>
      </c>
      <c r="AX384">
        <v>48372785</v>
      </c>
      <c r="AY384">
        <v>1</v>
      </c>
      <c r="AZ384">
        <v>0</v>
      </c>
      <c r="BA384">
        <v>385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CX384">
        <f>Y384*Source!I168</f>
        <v>0</v>
      </c>
      <c r="CY384">
        <f t="shared" si="30"/>
        <v>35275.21</v>
      </c>
      <c r="CZ384">
        <f t="shared" si="31"/>
        <v>5989</v>
      </c>
      <c r="DA384">
        <f t="shared" si="32"/>
        <v>5.89</v>
      </c>
      <c r="DB384">
        <v>0</v>
      </c>
    </row>
    <row r="385" spans="1:106">
      <c r="A385">
        <f>ROW(Source!A168)</f>
        <v>168</v>
      </c>
      <c r="B385">
        <v>48370320</v>
      </c>
      <c r="C385">
        <v>48372764</v>
      </c>
      <c r="D385">
        <v>37730096</v>
      </c>
      <c r="E385">
        <v>1</v>
      </c>
      <c r="F385">
        <v>1</v>
      </c>
      <c r="G385">
        <v>1</v>
      </c>
      <c r="H385">
        <v>3</v>
      </c>
      <c r="I385" t="s">
        <v>732</v>
      </c>
      <c r="J385" t="s">
        <v>733</v>
      </c>
      <c r="K385" t="s">
        <v>734</v>
      </c>
      <c r="L385">
        <v>1346</v>
      </c>
      <c r="N385">
        <v>1009</v>
      </c>
      <c r="O385" t="s">
        <v>172</v>
      </c>
      <c r="P385" t="s">
        <v>172</v>
      </c>
      <c r="Q385">
        <v>1</v>
      </c>
      <c r="W385">
        <v>0</v>
      </c>
      <c r="X385">
        <v>-1079761038</v>
      </c>
      <c r="Y385">
        <v>0</v>
      </c>
      <c r="AA385">
        <v>83.16</v>
      </c>
      <c r="AB385">
        <v>0</v>
      </c>
      <c r="AC385">
        <v>0</v>
      </c>
      <c r="AD385">
        <v>0</v>
      </c>
      <c r="AE385">
        <v>37.29</v>
      </c>
      <c r="AF385">
        <v>0</v>
      </c>
      <c r="AG385">
        <v>0</v>
      </c>
      <c r="AH385">
        <v>0</v>
      </c>
      <c r="AI385">
        <v>2.23</v>
      </c>
      <c r="AJ385">
        <v>1</v>
      </c>
      <c r="AK385">
        <v>1</v>
      </c>
      <c r="AL385">
        <v>1</v>
      </c>
      <c r="AN385">
        <v>0</v>
      </c>
      <c r="AO385">
        <v>1</v>
      </c>
      <c r="AP385">
        <v>1</v>
      </c>
      <c r="AQ385">
        <v>0</v>
      </c>
      <c r="AR385">
        <v>0</v>
      </c>
      <c r="AS385" t="s">
        <v>3</v>
      </c>
      <c r="AT385">
        <v>0.3</v>
      </c>
      <c r="AU385" t="s">
        <v>230</v>
      </c>
      <c r="AV385">
        <v>0</v>
      </c>
      <c r="AW385">
        <v>2</v>
      </c>
      <c r="AX385">
        <v>48372786</v>
      </c>
      <c r="AY385">
        <v>1</v>
      </c>
      <c r="AZ385">
        <v>0</v>
      </c>
      <c r="BA385">
        <v>386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CX385">
        <f>Y385*Source!I168</f>
        <v>0</v>
      </c>
      <c r="CY385">
        <f t="shared" si="30"/>
        <v>83.16</v>
      </c>
      <c r="CZ385">
        <f t="shared" si="31"/>
        <v>37.29</v>
      </c>
      <c r="DA385">
        <f t="shared" si="32"/>
        <v>2.23</v>
      </c>
      <c r="DB385">
        <v>0</v>
      </c>
    </row>
    <row r="386" spans="1:106">
      <c r="A386">
        <f>ROW(Source!A168)</f>
        <v>168</v>
      </c>
      <c r="B386">
        <v>48370320</v>
      </c>
      <c r="C386">
        <v>48372764</v>
      </c>
      <c r="D386">
        <v>37730022</v>
      </c>
      <c r="E386">
        <v>1</v>
      </c>
      <c r="F386">
        <v>1</v>
      </c>
      <c r="G386">
        <v>1</v>
      </c>
      <c r="H386">
        <v>3</v>
      </c>
      <c r="I386" t="s">
        <v>735</v>
      </c>
      <c r="J386" t="s">
        <v>736</v>
      </c>
      <c r="K386" t="s">
        <v>737</v>
      </c>
      <c r="L386">
        <v>1346</v>
      </c>
      <c r="N386">
        <v>1009</v>
      </c>
      <c r="O386" t="s">
        <v>172</v>
      </c>
      <c r="P386" t="s">
        <v>172</v>
      </c>
      <c r="Q386">
        <v>1</v>
      </c>
      <c r="W386">
        <v>0</v>
      </c>
      <c r="X386">
        <v>303894738</v>
      </c>
      <c r="Y386">
        <v>0</v>
      </c>
      <c r="AA386">
        <v>42.09</v>
      </c>
      <c r="AB386">
        <v>0</v>
      </c>
      <c r="AC386">
        <v>0</v>
      </c>
      <c r="AD386">
        <v>0</v>
      </c>
      <c r="AE386">
        <v>9.61</v>
      </c>
      <c r="AF386">
        <v>0</v>
      </c>
      <c r="AG386">
        <v>0</v>
      </c>
      <c r="AH386">
        <v>0</v>
      </c>
      <c r="AI386">
        <v>4.38</v>
      </c>
      <c r="AJ386">
        <v>1</v>
      </c>
      <c r="AK386">
        <v>1</v>
      </c>
      <c r="AL386">
        <v>1</v>
      </c>
      <c r="AN386">
        <v>0</v>
      </c>
      <c r="AO386">
        <v>1</v>
      </c>
      <c r="AP386">
        <v>1</v>
      </c>
      <c r="AQ386">
        <v>0</v>
      </c>
      <c r="AR386">
        <v>0</v>
      </c>
      <c r="AS386" t="s">
        <v>3</v>
      </c>
      <c r="AT386">
        <v>2</v>
      </c>
      <c r="AU386" t="s">
        <v>230</v>
      </c>
      <c r="AV386">
        <v>0</v>
      </c>
      <c r="AW386">
        <v>2</v>
      </c>
      <c r="AX386">
        <v>48372787</v>
      </c>
      <c r="AY386">
        <v>1</v>
      </c>
      <c r="AZ386">
        <v>0</v>
      </c>
      <c r="BA386">
        <v>387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CX386">
        <f>Y386*Source!I168</f>
        <v>0</v>
      </c>
      <c r="CY386">
        <f t="shared" si="30"/>
        <v>42.09</v>
      </c>
      <c r="CZ386">
        <f t="shared" si="31"/>
        <v>9.61</v>
      </c>
      <c r="DA386">
        <f t="shared" si="32"/>
        <v>4.38</v>
      </c>
      <c r="DB386">
        <v>0</v>
      </c>
    </row>
    <row r="387" spans="1:106">
      <c r="A387">
        <f>ROW(Source!A168)</f>
        <v>168</v>
      </c>
      <c r="B387">
        <v>48370320</v>
      </c>
      <c r="C387">
        <v>48372764</v>
      </c>
      <c r="D387">
        <v>37737285</v>
      </c>
      <c r="E387">
        <v>1</v>
      </c>
      <c r="F387">
        <v>1</v>
      </c>
      <c r="G387">
        <v>1</v>
      </c>
      <c r="H387">
        <v>3</v>
      </c>
      <c r="I387" t="s">
        <v>738</v>
      </c>
      <c r="J387" t="s">
        <v>739</v>
      </c>
      <c r="K387" t="s">
        <v>740</v>
      </c>
      <c r="L387">
        <v>1348</v>
      </c>
      <c r="N387">
        <v>1009</v>
      </c>
      <c r="O387" t="s">
        <v>536</v>
      </c>
      <c r="P387" t="s">
        <v>536</v>
      </c>
      <c r="Q387">
        <v>1000</v>
      </c>
      <c r="W387">
        <v>0</v>
      </c>
      <c r="X387">
        <v>150781661</v>
      </c>
      <c r="Y387">
        <v>0</v>
      </c>
      <c r="AA387">
        <v>56977</v>
      </c>
      <c r="AB387">
        <v>0</v>
      </c>
      <c r="AC387">
        <v>0</v>
      </c>
      <c r="AD387">
        <v>0</v>
      </c>
      <c r="AE387">
        <v>11350</v>
      </c>
      <c r="AF387">
        <v>0</v>
      </c>
      <c r="AG387">
        <v>0</v>
      </c>
      <c r="AH387">
        <v>0</v>
      </c>
      <c r="AI387">
        <v>5.0199999999999996</v>
      </c>
      <c r="AJ387">
        <v>1</v>
      </c>
      <c r="AK387">
        <v>1</v>
      </c>
      <c r="AL387">
        <v>1</v>
      </c>
      <c r="AN387">
        <v>0</v>
      </c>
      <c r="AO387">
        <v>1</v>
      </c>
      <c r="AP387">
        <v>1</v>
      </c>
      <c r="AQ387">
        <v>0</v>
      </c>
      <c r="AR387">
        <v>0</v>
      </c>
      <c r="AS387" t="s">
        <v>3</v>
      </c>
      <c r="AT387">
        <v>6.9999999999999999E-4</v>
      </c>
      <c r="AU387" t="s">
        <v>230</v>
      </c>
      <c r="AV387">
        <v>0</v>
      </c>
      <c r="AW387">
        <v>2</v>
      </c>
      <c r="AX387">
        <v>48372788</v>
      </c>
      <c r="AY387">
        <v>1</v>
      </c>
      <c r="AZ387">
        <v>0</v>
      </c>
      <c r="BA387">
        <v>388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CX387">
        <f>Y387*Source!I168</f>
        <v>0</v>
      </c>
      <c r="CY387">
        <f t="shared" si="30"/>
        <v>56977</v>
      </c>
      <c r="CZ387">
        <f t="shared" si="31"/>
        <v>11350</v>
      </c>
      <c r="DA387">
        <f t="shared" si="32"/>
        <v>5.0199999999999996</v>
      </c>
      <c r="DB387">
        <v>0</v>
      </c>
    </row>
    <row r="388" spans="1:106">
      <c r="A388">
        <f>ROW(Source!A168)</f>
        <v>168</v>
      </c>
      <c r="B388">
        <v>48370320</v>
      </c>
      <c r="C388">
        <v>48372764</v>
      </c>
      <c r="D388">
        <v>37737065</v>
      </c>
      <c r="E388">
        <v>1</v>
      </c>
      <c r="F388">
        <v>1</v>
      </c>
      <c r="G388">
        <v>1</v>
      </c>
      <c r="H388">
        <v>3</v>
      </c>
      <c r="I388" t="s">
        <v>741</v>
      </c>
      <c r="J388" t="s">
        <v>742</v>
      </c>
      <c r="K388" t="s">
        <v>743</v>
      </c>
      <c r="L388">
        <v>1358</v>
      </c>
      <c r="N388">
        <v>1010</v>
      </c>
      <c r="O388" t="s">
        <v>278</v>
      </c>
      <c r="P388" t="s">
        <v>278</v>
      </c>
      <c r="Q388">
        <v>10</v>
      </c>
      <c r="W388">
        <v>0</v>
      </c>
      <c r="X388">
        <v>1797813106</v>
      </c>
      <c r="Y388">
        <v>0</v>
      </c>
      <c r="AA388">
        <v>3.8</v>
      </c>
      <c r="AB388">
        <v>0</v>
      </c>
      <c r="AC388">
        <v>0</v>
      </c>
      <c r="AD388">
        <v>0</v>
      </c>
      <c r="AE388">
        <v>2</v>
      </c>
      <c r="AF388">
        <v>0</v>
      </c>
      <c r="AG388">
        <v>0</v>
      </c>
      <c r="AH388">
        <v>0</v>
      </c>
      <c r="AI388">
        <v>1.9</v>
      </c>
      <c r="AJ388">
        <v>1</v>
      </c>
      <c r="AK388">
        <v>1</v>
      </c>
      <c r="AL388">
        <v>1</v>
      </c>
      <c r="AN388">
        <v>0</v>
      </c>
      <c r="AO388">
        <v>1</v>
      </c>
      <c r="AP388">
        <v>1</v>
      </c>
      <c r="AQ388">
        <v>0</v>
      </c>
      <c r="AR388">
        <v>0</v>
      </c>
      <c r="AS388" t="s">
        <v>3</v>
      </c>
      <c r="AT388">
        <v>4</v>
      </c>
      <c r="AU388" t="s">
        <v>230</v>
      </c>
      <c r="AV388">
        <v>0</v>
      </c>
      <c r="AW388">
        <v>2</v>
      </c>
      <c r="AX388">
        <v>48372789</v>
      </c>
      <c r="AY388">
        <v>1</v>
      </c>
      <c r="AZ388">
        <v>0</v>
      </c>
      <c r="BA388">
        <v>389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CX388">
        <f>Y388*Source!I168</f>
        <v>0</v>
      </c>
      <c r="CY388">
        <f t="shared" si="30"/>
        <v>3.8</v>
      </c>
      <c r="CZ388">
        <f t="shared" si="31"/>
        <v>2</v>
      </c>
      <c r="DA388">
        <f t="shared" si="32"/>
        <v>1.9</v>
      </c>
      <c r="DB388">
        <v>0</v>
      </c>
    </row>
    <row r="389" spans="1:106">
      <c r="A389">
        <f>ROW(Source!A168)</f>
        <v>168</v>
      </c>
      <c r="B389">
        <v>48370320</v>
      </c>
      <c r="C389">
        <v>48372764</v>
      </c>
      <c r="D389">
        <v>37764714</v>
      </c>
      <c r="E389">
        <v>1</v>
      </c>
      <c r="F389">
        <v>1</v>
      </c>
      <c r="G389">
        <v>1</v>
      </c>
      <c r="H389">
        <v>3</v>
      </c>
      <c r="I389" t="s">
        <v>744</v>
      </c>
      <c r="J389" t="s">
        <v>745</v>
      </c>
      <c r="K389" t="s">
        <v>746</v>
      </c>
      <c r="L389">
        <v>1035</v>
      </c>
      <c r="N389">
        <v>1013</v>
      </c>
      <c r="O389" t="s">
        <v>255</v>
      </c>
      <c r="P389" t="s">
        <v>255</v>
      </c>
      <c r="Q389">
        <v>1</v>
      </c>
      <c r="W389">
        <v>0</v>
      </c>
      <c r="X389">
        <v>603596775</v>
      </c>
      <c r="Y389">
        <v>0</v>
      </c>
      <c r="AA389">
        <v>1257.43</v>
      </c>
      <c r="AB389">
        <v>0</v>
      </c>
      <c r="AC389">
        <v>0</v>
      </c>
      <c r="AD389">
        <v>0</v>
      </c>
      <c r="AE389">
        <v>237.7</v>
      </c>
      <c r="AF389">
        <v>0</v>
      </c>
      <c r="AG389">
        <v>0</v>
      </c>
      <c r="AH389">
        <v>0</v>
      </c>
      <c r="AI389">
        <v>5.29</v>
      </c>
      <c r="AJ389">
        <v>1</v>
      </c>
      <c r="AK389">
        <v>1</v>
      </c>
      <c r="AL389">
        <v>1</v>
      </c>
      <c r="AN389">
        <v>0</v>
      </c>
      <c r="AO389">
        <v>1</v>
      </c>
      <c r="AP389">
        <v>1</v>
      </c>
      <c r="AQ389">
        <v>0</v>
      </c>
      <c r="AR389">
        <v>0</v>
      </c>
      <c r="AS389" t="s">
        <v>3</v>
      </c>
      <c r="AT389">
        <v>10</v>
      </c>
      <c r="AU389" t="s">
        <v>230</v>
      </c>
      <c r="AV389">
        <v>0</v>
      </c>
      <c r="AW389">
        <v>2</v>
      </c>
      <c r="AX389">
        <v>48372790</v>
      </c>
      <c r="AY389">
        <v>1</v>
      </c>
      <c r="AZ389">
        <v>0</v>
      </c>
      <c r="BA389">
        <v>390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CX389">
        <f>Y389*Source!I168</f>
        <v>0</v>
      </c>
      <c r="CY389">
        <f t="shared" si="30"/>
        <v>1257.43</v>
      </c>
      <c r="CZ389">
        <f t="shared" si="31"/>
        <v>237.7</v>
      </c>
      <c r="DA389">
        <f t="shared" si="32"/>
        <v>5.29</v>
      </c>
      <c r="DB389">
        <v>0</v>
      </c>
    </row>
    <row r="390" spans="1:106">
      <c r="A390">
        <f>ROW(Source!A169)</f>
        <v>169</v>
      </c>
      <c r="B390">
        <v>48370320</v>
      </c>
      <c r="C390">
        <v>48372909</v>
      </c>
      <c r="D390">
        <v>23146451</v>
      </c>
      <c r="E390">
        <v>1</v>
      </c>
      <c r="F390">
        <v>1</v>
      </c>
      <c r="G390">
        <v>1</v>
      </c>
      <c r="H390">
        <v>1</v>
      </c>
      <c r="I390" t="s">
        <v>917</v>
      </c>
      <c r="J390" t="s">
        <v>3</v>
      </c>
      <c r="K390" t="s">
        <v>918</v>
      </c>
      <c r="L390">
        <v>1369</v>
      </c>
      <c r="N390">
        <v>1013</v>
      </c>
      <c r="O390" t="s">
        <v>510</v>
      </c>
      <c r="P390" t="s">
        <v>510</v>
      </c>
      <c r="Q390">
        <v>1</v>
      </c>
      <c r="W390">
        <v>0</v>
      </c>
      <c r="X390">
        <v>1468083442</v>
      </c>
      <c r="Y390">
        <v>3.1969999999999996</v>
      </c>
      <c r="AA390">
        <v>0</v>
      </c>
      <c r="AB390">
        <v>0</v>
      </c>
      <c r="AC390">
        <v>0</v>
      </c>
      <c r="AD390">
        <v>9.4</v>
      </c>
      <c r="AE390">
        <v>0</v>
      </c>
      <c r="AF390">
        <v>0</v>
      </c>
      <c r="AG390">
        <v>0</v>
      </c>
      <c r="AH390">
        <v>9.4</v>
      </c>
      <c r="AI390">
        <v>1</v>
      </c>
      <c r="AJ390">
        <v>1</v>
      </c>
      <c r="AK390">
        <v>1</v>
      </c>
      <c r="AL390">
        <v>1</v>
      </c>
      <c r="AN390">
        <v>0</v>
      </c>
      <c r="AO390">
        <v>1</v>
      </c>
      <c r="AP390">
        <v>1</v>
      </c>
      <c r="AQ390">
        <v>0</v>
      </c>
      <c r="AR390">
        <v>0</v>
      </c>
      <c r="AS390" t="s">
        <v>3</v>
      </c>
      <c r="AT390">
        <v>2.78</v>
      </c>
      <c r="AU390" t="s">
        <v>161</v>
      </c>
      <c r="AV390">
        <v>1</v>
      </c>
      <c r="AW390">
        <v>2</v>
      </c>
      <c r="AX390">
        <v>48372910</v>
      </c>
      <c r="AY390">
        <v>1</v>
      </c>
      <c r="AZ390">
        <v>0</v>
      </c>
      <c r="BA390">
        <v>391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CX390">
        <f>Y390*Source!I169</f>
        <v>8.5359899999999982</v>
      </c>
      <c r="CY390">
        <f>AD390</f>
        <v>9.4</v>
      </c>
      <c r="CZ390">
        <f>AH390</f>
        <v>9.4</v>
      </c>
      <c r="DA390">
        <f>AL390</f>
        <v>1</v>
      </c>
      <c r="DB390">
        <v>0</v>
      </c>
    </row>
    <row r="391" spans="1:106">
      <c r="A391">
        <f>ROW(Source!A169)</f>
        <v>169</v>
      </c>
      <c r="B391">
        <v>48370320</v>
      </c>
      <c r="C391">
        <v>48372909</v>
      </c>
      <c r="D391">
        <v>37802657</v>
      </c>
      <c r="E391">
        <v>1</v>
      </c>
      <c r="F391">
        <v>1</v>
      </c>
      <c r="G391">
        <v>1</v>
      </c>
      <c r="H391">
        <v>2</v>
      </c>
      <c r="I391" t="s">
        <v>527</v>
      </c>
      <c r="J391" t="s">
        <v>528</v>
      </c>
      <c r="K391" t="s">
        <v>529</v>
      </c>
      <c r="L391">
        <v>1368</v>
      </c>
      <c r="N391">
        <v>1011</v>
      </c>
      <c r="O391" t="s">
        <v>516</v>
      </c>
      <c r="P391" t="s">
        <v>516</v>
      </c>
      <c r="Q391">
        <v>1</v>
      </c>
      <c r="W391">
        <v>0</v>
      </c>
      <c r="X391">
        <v>1084334125</v>
      </c>
      <c r="Y391">
        <v>0.91249999999999998</v>
      </c>
      <c r="AA391">
        <v>0</v>
      </c>
      <c r="AB391">
        <v>46.89</v>
      </c>
      <c r="AC391">
        <v>0</v>
      </c>
      <c r="AD391">
        <v>0</v>
      </c>
      <c r="AE391">
        <v>0</v>
      </c>
      <c r="AF391">
        <v>7.55</v>
      </c>
      <c r="AG391">
        <v>0</v>
      </c>
      <c r="AH391">
        <v>0</v>
      </c>
      <c r="AI391">
        <v>1</v>
      </c>
      <c r="AJ391">
        <v>6.21</v>
      </c>
      <c r="AK391">
        <v>20.88</v>
      </c>
      <c r="AL391">
        <v>1</v>
      </c>
      <c r="AN391">
        <v>0</v>
      </c>
      <c r="AO391">
        <v>1</v>
      </c>
      <c r="AP391">
        <v>1</v>
      </c>
      <c r="AQ391">
        <v>0</v>
      </c>
      <c r="AR391">
        <v>0</v>
      </c>
      <c r="AS391" t="s">
        <v>3</v>
      </c>
      <c r="AT391">
        <v>0.73</v>
      </c>
      <c r="AU391" t="s">
        <v>160</v>
      </c>
      <c r="AV391">
        <v>0</v>
      </c>
      <c r="AW391">
        <v>2</v>
      </c>
      <c r="AX391">
        <v>48372911</v>
      </c>
      <c r="AY391">
        <v>1</v>
      </c>
      <c r="AZ391">
        <v>0</v>
      </c>
      <c r="BA391">
        <v>392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CX391">
        <f>Y391*Source!I169</f>
        <v>2.436375</v>
      </c>
      <c r="CY391">
        <f>AB391</f>
        <v>46.89</v>
      </c>
      <c r="CZ391">
        <f>AF391</f>
        <v>7.55</v>
      </c>
      <c r="DA391">
        <f>AJ391</f>
        <v>6.21</v>
      </c>
      <c r="DB391">
        <v>0</v>
      </c>
    </row>
    <row r="392" spans="1:106">
      <c r="A392">
        <f>ROW(Source!A169)</f>
        <v>169</v>
      </c>
      <c r="B392">
        <v>48370320</v>
      </c>
      <c r="C392">
        <v>48372909</v>
      </c>
      <c r="D392">
        <v>37803303</v>
      </c>
      <c r="E392">
        <v>1</v>
      </c>
      <c r="F392">
        <v>1</v>
      </c>
      <c r="G392">
        <v>1</v>
      </c>
      <c r="H392">
        <v>2</v>
      </c>
      <c r="I392" t="s">
        <v>804</v>
      </c>
      <c r="J392" t="s">
        <v>805</v>
      </c>
      <c r="K392" t="s">
        <v>806</v>
      </c>
      <c r="L392">
        <v>1368</v>
      </c>
      <c r="N392">
        <v>1011</v>
      </c>
      <c r="O392" t="s">
        <v>516</v>
      </c>
      <c r="P392" t="s">
        <v>516</v>
      </c>
      <c r="Q392">
        <v>1</v>
      </c>
      <c r="W392">
        <v>0</v>
      </c>
      <c r="X392">
        <v>325281995</v>
      </c>
      <c r="Y392">
        <v>0.96250000000000002</v>
      </c>
      <c r="AA392">
        <v>0</v>
      </c>
      <c r="AB392">
        <v>12</v>
      </c>
      <c r="AC392">
        <v>0</v>
      </c>
      <c r="AD392">
        <v>0</v>
      </c>
      <c r="AE392">
        <v>0</v>
      </c>
      <c r="AF392">
        <v>1.98</v>
      </c>
      <c r="AG392">
        <v>0</v>
      </c>
      <c r="AH392">
        <v>0</v>
      </c>
      <c r="AI392">
        <v>1</v>
      </c>
      <c r="AJ392">
        <v>6.06</v>
      </c>
      <c r="AK392">
        <v>20.88</v>
      </c>
      <c r="AL392">
        <v>1</v>
      </c>
      <c r="AN392">
        <v>0</v>
      </c>
      <c r="AO392">
        <v>1</v>
      </c>
      <c r="AP392">
        <v>1</v>
      </c>
      <c r="AQ392">
        <v>0</v>
      </c>
      <c r="AR392">
        <v>0</v>
      </c>
      <c r="AS392" t="s">
        <v>3</v>
      </c>
      <c r="AT392">
        <v>0.77</v>
      </c>
      <c r="AU392" t="s">
        <v>160</v>
      </c>
      <c r="AV392">
        <v>0</v>
      </c>
      <c r="AW392">
        <v>2</v>
      </c>
      <c r="AX392">
        <v>48372912</v>
      </c>
      <c r="AY392">
        <v>1</v>
      </c>
      <c r="AZ392">
        <v>0</v>
      </c>
      <c r="BA392">
        <v>393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CX392">
        <f>Y392*Source!I169</f>
        <v>2.5698750000000001</v>
      </c>
      <c r="CY392">
        <f>AB392</f>
        <v>12</v>
      </c>
      <c r="CZ392">
        <f>AF392</f>
        <v>1.98</v>
      </c>
      <c r="DA392">
        <f>AJ392</f>
        <v>6.06</v>
      </c>
      <c r="DB392">
        <v>0</v>
      </c>
    </row>
    <row r="393" spans="1:106">
      <c r="A393">
        <f>ROW(Source!A169)</f>
        <v>169</v>
      </c>
      <c r="B393">
        <v>48370320</v>
      </c>
      <c r="C393">
        <v>48372909</v>
      </c>
      <c r="D393">
        <v>37804136</v>
      </c>
      <c r="E393">
        <v>1</v>
      </c>
      <c r="F393">
        <v>1</v>
      </c>
      <c r="G393">
        <v>1</v>
      </c>
      <c r="H393">
        <v>2</v>
      </c>
      <c r="I393" t="s">
        <v>828</v>
      </c>
      <c r="J393" t="s">
        <v>829</v>
      </c>
      <c r="K393" t="s">
        <v>830</v>
      </c>
      <c r="L393">
        <v>1368</v>
      </c>
      <c r="N393">
        <v>1011</v>
      </c>
      <c r="O393" t="s">
        <v>516</v>
      </c>
      <c r="P393" t="s">
        <v>516</v>
      </c>
      <c r="Q393">
        <v>1</v>
      </c>
      <c r="W393">
        <v>0</v>
      </c>
      <c r="X393">
        <v>1067600123</v>
      </c>
      <c r="Y393">
        <v>0.91249999999999998</v>
      </c>
      <c r="AA393">
        <v>0</v>
      </c>
      <c r="AB393">
        <v>7.88</v>
      </c>
      <c r="AC393">
        <v>0</v>
      </c>
      <c r="AD393">
        <v>0</v>
      </c>
      <c r="AE393">
        <v>0</v>
      </c>
      <c r="AF393">
        <v>2.27</v>
      </c>
      <c r="AG393">
        <v>0</v>
      </c>
      <c r="AH393">
        <v>0</v>
      </c>
      <c r="AI393">
        <v>1</v>
      </c>
      <c r="AJ393">
        <v>3.47</v>
      </c>
      <c r="AK393">
        <v>20.88</v>
      </c>
      <c r="AL393">
        <v>1</v>
      </c>
      <c r="AN393">
        <v>0</v>
      </c>
      <c r="AO393">
        <v>1</v>
      </c>
      <c r="AP393">
        <v>1</v>
      </c>
      <c r="AQ393">
        <v>0</v>
      </c>
      <c r="AR393">
        <v>0</v>
      </c>
      <c r="AS393" t="s">
        <v>3</v>
      </c>
      <c r="AT393">
        <v>0.73</v>
      </c>
      <c r="AU393" t="s">
        <v>160</v>
      </c>
      <c r="AV393">
        <v>0</v>
      </c>
      <c r="AW393">
        <v>2</v>
      </c>
      <c r="AX393">
        <v>48372913</v>
      </c>
      <c r="AY393">
        <v>1</v>
      </c>
      <c r="AZ393">
        <v>0</v>
      </c>
      <c r="BA393">
        <v>394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CX393">
        <f>Y393*Source!I169</f>
        <v>2.436375</v>
      </c>
      <c r="CY393">
        <f>AB393</f>
        <v>7.88</v>
      </c>
      <c r="CZ393">
        <f>AF393</f>
        <v>2.27</v>
      </c>
      <c r="DA393">
        <f>AJ393</f>
        <v>3.47</v>
      </c>
      <c r="DB393">
        <v>0</v>
      </c>
    </row>
    <row r="394" spans="1:106">
      <c r="A394">
        <f>ROW(Source!A169)</f>
        <v>169</v>
      </c>
      <c r="B394">
        <v>48370320</v>
      </c>
      <c r="C394">
        <v>48372909</v>
      </c>
      <c r="D394">
        <v>37804456</v>
      </c>
      <c r="E394">
        <v>1</v>
      </c>
      <c r="F394">
        <v>1</v>
      </c>
      <c r="G394">
        <v>1</v>
      </c>
      <c r="H394">
        <v>2</v>
      </c>
      <c r="I394" t="s">
        <v>530</v>
      </c>
      <c r="J394" t="s">
        <v>531</v>
      </c>
      <c r="K394" t="s">
        <v>532</v>
      </c>
      <c r="L394">
        <v>1368</v>
      </c>
      <c r="N394">
        <v>1011</v>
      </c>
      <c r="O394" t="s">
        <v>516</v>
      </c>
      <c r="P394" t="s">
        <v>516</v>
      </c>
      <c r="Q394">
        <v>1</v>
      </c>
      <c r="W394">
        <v>0</v>
      </c>
      <c r="X394">
        <v>-671646184</v>
      </c>
      <c r="Y394">
        <v>2.5000000000000001E-2</v>
      </c>
      <c r="AA394">
        <v>0</v>
      </c>
      <c r="AB394">
        <v>844.19</v>
      </c>
      <c r="AC394">
        <v>216.11</v>
      </c>
      <c r="AD394">
        <v>0</v>
      </c>
      <c r="AE394">
        <v>0</v>
      </c>
      <c r="AF394">
        <v>91.76</v>
      </c>
      <c r="AG394">
        <v>10.35</v>
      </c>
      <c r="AH394">
        <v>0</v>
      </c>
      <c r="AI394">
        <v>1</v>
      </c>
      <c r="AJ394">
        <v>9.1999999999999993</v>
      </c>
      <c r="AK394">
        <v>20.88</v>
      </c>
      <c r="AL394">
        <v>1</v>
      </c>
      <c r="AN394">
        <v>0</v>
      </c>
      <c r="AO394">
        <v>1</v>
      </c>
      <c r="AP394">
        <v>1</v>
      </c>
      <c r="AQ394">
        <v>0</v>
      </c>
      <c r="AR394">
        <v>0</v>
      </c>
      <c r="AS394" t="s">
        <v>3</v>
      </c>
      <c r="AT394">
        <v>0.02</v>
      </c>
      <c r="AU394" t="s">
        <v>160</v>
      </c>
      <c r="AV394">
        <v>0</v>
      </c>
      <c r="AW394">
        <v>2</v>
      </c>
      <c r="AX394">
        <v>48372914</v>
      </c>
      <c r="AY394">
        <v>1</v>
      </c>
      <c r="AZ394">
        <v>0</v>
      </c>
      <c r="BA394">
        <v>395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CX394">
        <f>Y394*Source!I169</f>
        <v>6.6750000000000004E-2</v>
      </c>
      <c r="CY394">
        <f>AB394</f>
        <v>844.19</v>
      </c>
      <c r="CZ394">
        <f>AF394</f>
        <v>91.76</v>
      </c>
      <c r="DA394">
        <f>AJ394</f>
        <v>9.1999999999999993</v>
      </c>
      <c r="DB394">
        <v>0</v>
      </c>
    </row>
    <row r="395" spans="1:106">
      <c r="A395">
        <f>ROW(Source!A169)</f>
        <v>169</v>
      </c>
      <c r="B395">
        <v>48370320</v>
      </c>
      <c r="C395">
        <v>48372909</v>
      </c>
      <c r="D395">
        <v>37736609</v>
      </c>
      <c r="E395">
        <v>1</v>
      </c>
      <c r="F395">
        <v>1</v>
      </c>
      <c r="G395">
        <v>1</v>
      </c>
      <c r="H395">
        <v>3</v>
      </c>
      <c r="I395" t="s">
        <v>810</v>
      </c>
      <c r="J395" t="s">
        <v>811</v>
      </c>
      <c r="K395" t="s">
        <v>812</v>
      </c>
      <c r="L395">
        <v>1348</v>
      </c>
      <c r="N395">
        <v>1009</v>
      </c>
      <c r="O395" t="s">
        <v>536</v>
      </c>
      <c r="P395" t="s">
        <v>536</v>
      </c>
      <c r="Q395">
        <v>1000</v>
      </c>
      <c r="W395">
        <v>0</v>
      </c>
      <c r="X395">
        <v>1483167196</v>
      </c>
      <c r="Y395">
        <v>8.0000000000000007E-5</v>
      </c>
      <c r="AA395">
        <v>52065</v>
      </c>
      <c r="AB395">
        <v>0</v>
      </c>
      <c r="AC395">
        <v>0</v>
      </c>
      <c r="AD395">
        <v>0</v>
      </c>
      <c r="AE395">
        <v>9750</v>
      </c>
      <c r="AF395">
        <v>0</v>
      </c>
      <c r="AG395">
        <v>0</v>
      </c>
      <c r="AH395">
        <v>0</v>
      </c>
      <c r="AI395">
        <v>5.34</v>
      </c>
      <c r="AJ395">
        <v>1</v>
      </c>
      <c r="AK395">
        <v>1</v>
      </c>
      <c r="AL395">
        <v>1</v>
      </c>
      <c r="AN395">
        <v>0</v>
      </c>
      <c r="AO395">
        <v>1</v>
      </c>
      <c r="AP395">
        <v>0</v>
      </c>
      <c r="AQ395">
        <v>0</v>
      </c>
      <c r="AR395">
        <v>0</v>
      </c>
      <c r="AS395" t="s">
        <v>3</v>
      </c>
      <c r="AT395">
        <v>8.0000000000000007E-5</v>
      </c>
      <c r="AU395" t="s">
        <v>3</v>
      </c>
      <c r="AV395">
        <v>0</v>
      </c>
      <c r="AW395">
        <v>2</v>
      </c>
      <c r="AX395">
        <v>48372915</v>
      </c>
      <c r="AY395">
        <v>1</v>
      </c>
      <c r="AZ395">
        <v>0</v>
      </c>
      <c r="BA395">
        <v>396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CX395">
        <f>Y395*Source!I169</f>
        <v>2.1360000000000001E-4</v>
      </c>
      <c r="CY395">
        <f>AA395</f>
        <v>52065</v>
      </c>
      <c r="CZ395">
        <f>AE395</f>
        <v>9750</v>
      </c>
      <c r="DA395">
        <f>AI395</f>
        <v>5.34</v>
      </c>
      <c r="DB395">
        <v>0</v>
      </c>
    </row>
    <row r="396" spans="1:106">
      <c r="A396">
        <f>ROW(Source!A169)</f>
        <v>169</v>
      </c>
      <c r="B396">
        <v>48370320</v>
      </c>
      <c r="C396">
        <v>48372909</v>
      </c>
      <c r="D396">
        <v>37736785</v>
      </c>
      <c r="E396">
        <v>1</v>
      </c>
      <c r="F396">
        <v>1</v>
      </c>
      <c r="G396">
        <v>1</v>
      </c>
      <c r="H396">
        <v>3</v>
      </c>
      <c r="I396" t="s">
        <v>919</v>
      </c>
      <c r="J396" t="s">
        <v>920</v>
      </c>
      <c r="K396" t="s">
        <v>921</v>
      </c>
      <c r="L396">
        <v>1348</v>
      </c>
      <c r="N396">
        <v>1009</v>
      </c>
      <c r="O396" t="s">
        <v>536</v>
      </c>
      <c r="P396" t="s">
        <v>536</v>
      </c>
      <c r="Q396">
        <v>1000</v>
      </c>
      <c r="W396">
        <v>0</v>
      </c>
      <c r="X396">
        <v>-1485663071</v>
      </c>
      <c r="Y396">
        <v>3.0000000000000001E-3</v>
      </c>
      <c r="AA396">
        <v>67656.960000000006</v>
      </c>
      <c r="AB396">
        <v>0</v>
      </c>
      <c r="AC396">
        <v>0</v>
      </c>
      <c r="AD396">
        <v>0</v>
      </c>
      <c r="AE396">
        <v>10068</v>
      </c>
      <c r="AF396">
        <v>0</v>
      </c>
      <c r="AG396">
        <v>0</v>
      </c>
      <c r="AH396">
        <v>0</v>
      </c>
      <c r="AI396">
        <v>6.72</v>
      </c>
      <c r="AJ396">
        <v>1</v>
      </c>
      <c r="AK396">
        <v>1</v>
      </c>
      <c r="AL396">
        <v>1</v>
      </c>
      <c r="AN396">
        <v>0</v>
      </c>
      <c r="AO396">
        <v>1</v>
      </c>
      <c r="AP396">
        <v>0</v>
      </c>
      <c r="AQ396">
        <v>0</v>
      </c>
      <c r="AR396">
        <v>0</v>
      </c>
      <c r="AS396" t="s">
        <v>3</v>
      </c>
      <c r="AT396">
        <v>3.0000000000000001E-3</v>
      </c>
      <c r="AU396" t="s">
        <v>3</v>
      </c>
      <c r="AV396">
        <v>0</v>
      </c>
      <c r="AW396">
        <v>2</v>
      </c>
      <c r="AX396">
        <v>48372916</v>
      </c>
      <c r="AY396">
        <v>1</v>
      </c>
      <c r="AZ396">
        <v>0</v>
      </c>
      <c r="BA396">
        <v>397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CX396">
        <f>Y396*Source!I169</f>
        <v>8.0099999999999998E-3</v>
      </c>
      <c r="CY396">
        <f>AA396</f>
        <v>67656.960000000006</v>
      </c>
      <c r="CZ396">
        <f>AE396</f>
        <v>10068</v>
      </c>
      <c r="DA396">
        <f>AI396</f>
        <v>6.72</v>
      </c>
      <c r="DB396">
        <v>0</v>
      </c>
    </row>
    <row r="397" spans="1:106">
      <c r="A397">
        <f>ROW(Source!A169)</f>
        <v>169</v>
      </c>
      <c r="B397">
        <v>48370320</v>
      </c>
      <c r="C397">
        <v>48372909</v>
      </c>
      <c r="D397">
        <v>37730109</v>
      </c>
      <c r="E397">
        <v>1</v>
      </c>
      <c r="F397">
        <v>1</v>
      </c>
      <c r="G397">
        <v>1</v>
      </c>
      <c r="H397">
        <v>3</v>
      </c>
      <c r="I397" t="s">
        <v>922</v>
      </c>
      <c r="J397" t="s">
        <v>923</v>
      </c>
      <c r="K397" t="s">
        <v>924</v>
      </c>
      <c r="L397">
        <v>1354</v>
      </c>
      <c r="N397">
        <v>1010</v>
      </c>
      <c r="O397" t="s">
        <v>220</v>
      </c>
      <c r="P397" t="s">
        <v>220</v>
      </c>
      <c r="Q397">
        <v>1</v>
      </c>
      <c r="W397">
        <v>0</v>
      </c>
      <c r="X397">
        <v>1427780290</v>
      </c>
      <c r="Y397">
        <v>0.19</v>
      </c>
      <c r="AA397">
        <v>515.21</v>
      </c>
      <c r="AB397">
        <v>0</v>
      </c>
      <c r="AC397">
        <v>0</v>
      </c>
      <c r="AD397">
        <v>0</v>
      </c>
      <c r="AE397">
        <v>111.76</v>
      </c>
      <c r="AF397">
        <v>0</v>
      </c>
      <c r="AG397">
        <v>0</v>
      </c>
      <c r="AH397">
        <v>0</v>
      </c>
      <c r="AI397">
        <v>4.6100000000000003</v>
      </c>
      <c r="AJ397">
        <v>1</v>
      </c>
      <c r="AK397">
        <v>1</v>
      </c>
      <c r="AL397">
        <v>1</v>
      </c>
      <c r="AN397">
        <v>0</v>
      </c>
      <c r="AO397">
        <v>1</v>
      </c>
      <c r="AP397">
        <v>0</v>
      </c>
      <c r="AQ397">
        <v>0</v>
      </c>
      <c r="AR397">
        <v>0</v>
      </c>
      <c r="AS397" t="s">
        <v>3</v>
      </c>
      <c r="AT397">
        <v>0.19</v>
      </c>
      <c r="AU397" t="s">
        <v>3</v>
      </c>
      <c r="AV397">
        <v>0</v>
      </c>
      <c r="AW397">
        <v>2</v>
      </c>
      <c r="AX397">
        <v>48372917</v>
      </c>
      <c r="AY397">
        <v>1</v>
      </c>
      <c r="AZ397">
        <v>0</v>
      </c>
      <c r="BA397">
        <v>398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CX397">
        <f>Y397*Source!I169</f>
        <v>0.50729999999999997</v>
      </c>
      <c r="CY397">
        <f>AA397</f>
        <v>515.21</v>
      </c>
      <c r="CZ397">
        <f>AE397</f>
        <v>111.76</v>
      </c>
      <c r="DA397">
        <f>AI397</f>
        <v>4.6100000000000003</v>
      </c>
      <c r="DB397">
        <v>0</v>
      </c>
    </row>
    <row r="398" spans="1:106">
      <c r="A398">
        <f>ROW(Source!A172)</f>
        <v>172</v>
      </c>
      <c r="B398">
        <v>48370320</v>
      </c>
      <c r="C398">
        <v>48372802</v>
      </c>
      <c r="D398">
        <v>23132616</v>
      </c>
      <c r="E398">
        <v>1</v>
      </c>
      <c r="F398">
        <v>1</v>
      </c>
      <c r="G398">
        <v>1</v>
      </c>
      <c r="H398">
        <v>1</v>
      </c>
      <c r="I398" t="s">
        <v>558</v>
      </c>
      <c r="J398" t="s">
        <v>3</v>
      </c>
      <c r="K398" t="s">
        <v>559</v>
      </c>
      <c r="L398">
        <v>1369</v>
      </c>
      <c r="N398">
        <v>1013</v>
      </c>
      <c r="O398" t="s">
        <v>510</v>
      </c>
      <c r="P398" t="s">
        <v>510</v>
      </c>
      <c r="Q398">
        <v>1</v>
      </c>
      <c r="W398">
        <v>0</v>
      </c>
      <c r="X398">
        <v>771296312</v>
      </c>
      <c r="Y398">
        <v>103.91</v>
      </c>
      <c r="AA398">
        <v>0</v>
      </c>
      <c r="AB398">
        <v>0</v>
      </c>
      <c r="AC398">
        <v>0</v>
      </c>
      <c r="AD398">
        <v>7.56</v>
      </c>
      <c r="AE398">
        <v>0</v>
      </c>
      <c r="AF398">
        <v>0</v>
      </c>
      <c r="AG398">
        <v>0</v>
      </c>
      <c r="AH398">
        <v>7.56</v>
      </c>
      <c r="AI398">
        <v>1</v>
      </c>
      <c r="AJ398">
        <v>1</v>
      </c>
      <c r="AK398">
        <v>1</v>
      </c>
      <c r="AL398">
        <v>1</v>
      </c>
      <c r="AN398">
        <v>0</v>
      </c>
      <c r="AO398">
        <v>1</v>
      </c>
      <c r="AP398">
        <v>0</v>
      </c>
      <c r="AQ398">
        <v>0</v>
      </c>
      <c r="AR398">
        <v>0</v>
      </c>
      <c r="AS398" t="s">
        <v>3</v>
      </c>
      <c r="AT398">
        <v>103.91</v>
      </c>
      <c r="AU398" t="s">
        <v>3</v>
      </c>
      <c r="AV398">
        <v>1</v>
      </c>
      <c r="AW398">
        <v>2</v>
      </c>
      <c r="AX398">
        <v>48372806</v>
      </c>
      <c r="AY398">
        <v>1</v>
      </c>
      <c r="AZ398">
        <v>0</v>
      </c>
      <c r="BA398">
        <v>400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CX398">
        <f>Y398*Source!I172</f>
        <v>1.527477</v>
      </c>
      <c r="CY398">
        <f>AD398</f>
        <v>7.56</v>
      </c>
      <c r="CZ398">
        <f>AH398</f>
        <v>7.56</v>
      </c>
      <c r="DA398">
        <f>AL398</f>
        <v>1</v>
      </c>
      <c r="DB398">
        <v>0</v>
      </c>
    </row>
    <row r="399" spans="1:106">
      <c r="A399">
        <f>ROW(Source!A172)</f>
        <v>172</v>
      </c>
      <c r="B399">
        <v>48370320</v>
      </c>
      <c r="C399">
        <v>48372802</v>
      </c>
      <c r="D399">
        <v>121548</v>
      </c>
      <c r="E399">
        <v>1</v>
      </c>
      <c r="F399">
        <v>1</v>
      </c>
      <c r="G399">
        <v>1</v>
      </c>
      <c r="H399">
        <v>1</v>
      </c>
      <c r="I399" t="s">
        <v>24</v>
      </c>
      <c r="J399" t="s">
        <v>3</v>
      </c>
      <c r="K399" t="s">
        <v>511</v>
      </c>
      <c r="L399">
        <v>608254</v>
      </c>
      <c r="N399">
        <v>1013</v>
      </c>
      <c r="O399" t="s">
        <v>512</v>
      </c>
      <c r="P399" t="s">
        <v>512</v>
      </c>
      <c r="Q399">
        <v>1</v>
      </c>
      <c r="W399">
        <v>0</v>
      </c>
      <c r="X399">
        <v>-185737400</v>
      </c>
      <c r="Y399">
        <v>7.74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1</v>
      </c>
      <c r="AJ399">
        <v>1</v>
      </c>
      <c r="AK399">
        <v>1</v>
      </c>
      <c r="AL399">
        <v>1</v>
      </c>
      <c r="AN399">
        <v>0</v>
      </c>
      <c r="AO399">
        <v>1</v>
      </c>
      <c r="AP399">
        <v>0</v>
      </c>
      <c r="AQ399">
        <v>0</v>
      </c>
      <c r="AR399">
        <v>0</v>
      </c>
      <c r="AS399" t="s">
        <v>3</v>
      </c>
      <c r="AT399">
        <v>7.74</v>
      </c>
      <c r="AU399" t="s">
        <v>3</v>
      </c>
      <c r="AV399">
        <v>2</v>
      </c>
      <c r="AW399">
        <v>2</v>
      </c>
      <c r="AX399">
        <v>48372807</v>
      </c>
      <c r="AY399">
        <v>1</v>
      </c>
      <c r="AZ399">
        <v>0</v>
      </c>
      <c r="BA399">
        <v>401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CX399">
        <f>Y399*Source!I172</f>
        <v>0.113778</v>
      </c>
      <c r="CY399">
        <f>AD399</f>
        <v>0</v>
      </c>
      <c r="CZ399">
        <f>AH399</f>
        <v>0</v>
      </c>
      <c r="DA399">
        <f>AL399</f>
        <v>1</v>
      </c>
      <c r="DB399">
        <v>0</v>
      </c>
    </row>
    <row r="400" spans="1:106">
      <c r="A400">
        <f>ROW(Source!A172)</f>
        <v>172</v>
      </c>
      <c r="B400">
        <v>48370320</v>
      </c>
      <c r="C400">
        <v>48372802</v>
      </c>
      <c r="D400">
        <v>37802578</v>
      </c>
      <c r="E400">
        <v>1</v>
      </c>
      <c r="F400">
        <v>1</v>
      </c>
      <c r="G400">
        <v>1</v>
      </c>
      <c r="H400">
        <v>2</v>
      </c>
      <c r="I400" t="s">
        <v>550</v>
      </c>
      <c r="J400" t="s">
        <v>551</v>
      </c>
      <c r="K400" t="s">
        <v>552</v>
      </c>
      <c r="L400">
        <v>1368</v>
      </c>
      <c r="N400">
        <v>1011</v>
      </c>
      <c r="O400" t="s">
        <v>516</v>
      </c>
      <c r="P400" t="s">
        <v>516</v>
      </c>
      <c r="Q400">
        <v>1</v>
      </c>
      <c r="W400">
        <v>0</v>
      </c>
      <c r="X400">
        <v>1753337916</v>
      </c>
      <c r="Y400">
        <v>7.74</v>
      </c>
      <c r="AA400">
        <v>0</v>
      </c>
      <c r="AB400">
        <v>327.64</v>
      </c>
      <c r="AC400">
        <v>252.65</v>
      </c>
      <c r="AD400">
        <v>0</v>
      </c>
      <c r="AE400">
        <v>0</v>
      </c>
      <c r="AF400">
        <v>32.090000000000003</v>
      </c>
      <c r="AG400">
        <v>12.1</v>
      </c>
      <c r="AH400">
        <v>0</v>
      </c>
      <c r="AI400">
        <v>1</v>
      </c>
      <c r="AJ400">
        <v>10.210000000000001</v>
      </c>
      <c r="AK400">
        <v>20.88</v>
      </c>
      <c r="AL400">
        <v>1</v>
      </c>
      <c r="AN400">
        <v>0</v>
      </c>
      <c r="AO400">
        <v>1</v>
      </c>
      <c r="AP400">
        <v>0</v>
      </c>
      <c r="AQ400">
        <v>0</v>
      </c>
      <c r="AR400">
        <v>0</v>
      </c>
      <c r="AS400" t="s">
        <v>3</v>
      </c>
      <c r="AT400">
        <v>7.74</v>
      </c>
      <c r="AU400" t="s">
        <v>3</v>
      </c>
      <c r="AV400">
        <v>0</v>
      </c>
      <c r="AW400">
        <v>2</v>
      </c>
      <c r="AX400">
        <v>48372808</v>
      </c>
      <c r="AY400">
        <v>1</v>
      </c>
      <c r="AZ400">
        <v>0</v>
      </c>
      <c r="BA400">
        <v>402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CX400">
        <f>Y400*Source!I172</f>
        <v>0.113778</v>
      </c>
      <c r="CY400">
        <f>AB400</f>
        <v>327.64</v>
      </c>
      <c r="CZ400">
        <f>AF400</f>
        <v>32.090000000000003</v>
      </c>
      <c r="DA400">
        <f>AJ400</f>
        <v>10.210000000000001</v>
      </c>
      <c r="DB400">
        <v>0</v>
      </c>
    </row>
    <row r="401" spans="1:106">
      <c r="A401">
        <f>ROW(Source!A173)</f>
        <v>173</v>
      </c>
      <c r="B401">
        <v>48370320</v>
      </c>
      <c r="C401">
        <v>48372921</v>
      </c>
      <c r="D401">
        <v>23136905</v>
      </c>
      <c r="E401">
        <v>1</v>
      </c>
      <c r="F401">
        <v>1</v>
      </c>
      <c r="G401">
        <v>1</v>
      </c>
      <c r="H401">
        <v>1</v>
      </c>
      <c r="I401" t="s">
        <v>648</v>
      </c>
      <c r="J401" t="s">
        <v>3</v>
      </c>
      <c r="K401" t="s">
        <v>649</v>
      </c>
      <c r="L401">
        <v>1369</v>
      </c>
      <c r="N401">
        <v>1013</v>
      </c>
      <c r="O401" t="s">
        <v>510</v>
      </c>
      <c r="P401" t="s">
        <v>510</v>
      </c>
      <c r="Q401">
        <v>1</v>
      </c>
      <c r="W401">
        <v>0</v>
      </c>
      <c r="X401">
        <v>1351218007</v>
      </c>
      <c r="Y401">
        <v>119.922</v>
      </c>
      <c r="AA401">
        <v>0</v>
      </c>
      <c r="AB401">
        <v>0</v>
      </c>
      <c r="AC401">
        <v>0</v>
      </c>
      <c r="AD401">
        <v>8.58</v>
      </c>
      <c r="AE401">
        <v>0</v>
      </c>
      <c r="AF401">
        <v>0</v>
      </c>
      <c r="AG401">
        <v>0</v>
      </c>
      <c r="AH401">
        <v>8.58</v>
      </c>
      <c r="AI401">
        <v>1</v>
      </c>
      <c r="AJ401">
        <v>1</v>
      </c>
      <c r="AK401">
        <v>1</v>
      </c>
      <c r="AL401">
        <v>1</v>
      </c>
      <c r="AN401">
        <v>0</v>
      </c>
      <c r="AO401">
        <v>1</v>
      </c>
      <c r="AP401">
        <v>1</v>
      </c>
      <c r="AQ401">
        <v>0</v>
      </c>
      <c r="AR401">
        <v>0</v>
      </c>
      <c r="AS401" t="s">
        <v>3</v>
      </c>
      <c r="AT401">
        <v>104.28</v>
      </c>
      <c r="AU401" t="s">
        <v>161</v>
      </c>
      <c r="AV401">
        <v>1</v>
      </c>
      <c r="AW401">
        <v>2</v>
      </c>
      <c r="AX401">
        <v>48372939</v>
      </c>
      <c r="AY401">
        <v>1</v>
      </c>
      <c r="AZ401">
        <v>0</v>
      </c>
      <c r="BA401">
        <v>403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CX401">
        <f>Y401*Source!I173</f>
        <v>4.2812153999999998</v>
      </c>
      <c r="CY401">
        <f>AD401</f>
        <v>8.58</v>
      </c>
      <c r="CZ401">
        <f>AH401</f>
        <v>8.58</v>
      </c>
      <c r="DA401">
        <f>AL401</f>
        <v>1</v>
      </c>
      <c r="DB401">
        <v>0</v>
      </c>
    </row>
    <row r="402" spans="1:106">
      <c r="A402">
        <f>ROW(Source!A173)</f>
        <v>173</v>
      </c>
      <c r="B402">
        <v>48370320</v>
      </c>
      <c r="C402">
        <v>48372921</v>
      </c>
      <c r="D402">
        <v>121548</v>
      </c>
      <c r="E402">
        <v>1</v>
      </c>
      <c r="F402">
        <v>1</v>
      </c>
      <c r="G402">
        <v>1</v>
      </c>
      <c r="H402">
        <v>1</v>
      </c>
      <c r="I402" t="s">
        <v>24</v>
      </c>
      <c r="J402" t="s">
        <v>3</v>
      </c>
      <c r="K402" t="s">
        <v>511</v>
      </c>
      <c r="L402">
        <v>608254</v>
      </c>
      <c r="N402">
        <v>1013</v>
      </c>
      <c r="O402" t="s">
        <v>512</v>
      </c>
      <c r="P402" t="s">
        <v>512</v>
      </c>
      <c r="Q402">
        <v>1</v>
      </c>
      <c r="W402">
        <v>0</v>
      </c>
      <c r="X402">
        <v>-185737400</v>
      </c>
      <c r="Y402">
        <v>14.1875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1</v>
      </c>
      <c r="AJ402">
        <v>1</v>
      </c>
      <c r="AK402">
        <v>1</v>
      </c>
      <c r="AL402">
        <v>1</v>
      </c>
      <c r="AN402">
        <v>0</v>
      </c>
      <c r="AO402">
        <v>1</v>
      </c>
      <c r="AP402">
        <v>1</v>
      </c>
      <c r="AQ402">
        <v>0</v>
      </c>
      <c r="AR402">
        <v>0</v>
      </c>
      <c r="AS402" t="s">
        <v>3</v>
      </c>
      <c r="AT402">
        <v>11.35</v>
      </c>
      <c r="AU402" t="s">
        <v>160</v>
      </c>
      <c r="AV402">
        <v>2</v>
      </c>
      <c r="AW402">
        <v>2</v>
      </c>
      <c r="AX402">
        <v>48372940</v>
      </c>
      <c r="AY402">
        <v>1</v>
      </c>
      <c r="AZ402">
        <v>0</v>
      </c>
      <c r="BA402">
        <v>404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CX402">
        <f>Y402*Source!I173</f>
        <v>0.50649375000000008</v>
      </c>
      <c r="CY402">
        <f>AD402</f>
        <v>0</v>
      </c>
      <c r="CZ402">
        <f>AH402</f>
        <v>0</v>
      </c>
      <c r="DA402">
        <f>AL402</f>
        <v>1</v>
      </c>
      <c r="DB402">
        <v>0</v>
      </c>
    </row>
    <row r="403" spans="1:106">
      <c r="A403">
        <f>ROW(Source!A173)</f>
        <v>173</v>
      </c>
      <c r="B403">
        <v>48370320</v>
      </c>
      <c r="C403">
        <v>48372921</v>
      </c>
      <c r="D403">
        <v>37802359</v>
      </c>
      <c r="E403">
        <v>1</v>
      </c>
      <c r="F403">
        <v>1</v>
      </c>
      <c r="G403">
        <v>1</v>
      </c>
      <c r="H403">
        <v>2</v>
      </c>
      <c r="I403" t="s">
        <v>583</v>
      </c>
      <c r="J403" t="s">
        <v>584</v>
      </c>
      <c r="K403" t="s">
        <v>585</v>
      </c>
      <c r="L403">
        <v>1368</v>
      </c>
      <c r="N403">
        <v>1011</v>
      </c>
      <c r="O403" t="s">
        <v>516</v>
      </c>
      <c r="P403" t="s">
        <v>516</v>
      </c>
      <c r="Q403">
        <v>1</v>
      </c>
      <c r="W403">
        <v>0</v>
      </c>
      <c r="X403">
        <v>1604115853</v>
      </c>
      <c r="Y403">
        <v>12.112499999999999</v>
      </c>
      <c r="AA403">
        <v>0</v>
      </c>
      <c r="AB403">
        <v>718.22</v>
      </c>
      <c r="AC403">
        <v>252.65</v>
      </c>
      <c r="AD403">
        <v>0</v>
      </c>
      <c r="AE403">
        <v>0</v>
      </c>
      <c r="AF403">
        <v>103.49</v>
      </c>
      <c r="AG403">
        <v>12.1</v>
      </c>
      <c r="AH403">
        <v>0</v>
      </c>
      <c r="AI403">
        <v>1</v>
      </c>
      <c r="AJ403">
        <v>6.94</v>
      </c>
      <c r="AK403">
        <v>20.88</v>
      </c>
      <c r="AL403">
        <v>1</v>
      </c>
      <c r="AN403">
        <v>0</v>
      </c>
      <c r="AO403">
        <v>1</v>
      </c>
      <c r="AP403">
        <v>1</v>
      </c>
      <c r="AQ403">
        <v>0</v>
      </c>
      <c r="AR403">
        <v>0</v>
      </c>
      <c r="AS403" t="s">
        <v>3</v>
      </c>
      <c r="AT403">
        <v>9.69</v>
      </c>
      <c r="AU403" t="s">
        <v>160</v>
      </c>
      <c r="AV403">
        <v>0</v>
      </c>
      <c r="AW403">
        <v>2</v>
      </c>
      <c r="AX403">
        <v>48372941</v>
      </c>
      <c r="AY403">
        <v>1</v>
      </c>
      <c r="AZ403">
        <v>0</v>
      </c>
      <c r="BA403">
        <v>405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CX403">
        <f>Y403*Source!I173</f>
        <v>0.43241625</v>
      </c>
      <c r="CY403">
        <f>AB403</f>
        <v>718.22</v>
      </c>
      <c r="CZ403">
        <f>AF403</f>
        <v>103.49</v>
      </c>
      <c r="DA403">
        <f>AJ403</f>
        <v>6.94</v>
      </c>
      <c r="DB403">
        <v>0</v>
      </c>
    </row>
    <row r="404" spans="1:106">
      <c r="A404">
        <f>ROW(Source!A173)</f>
        <v>173</v>
      </c>
      <c r="B404">
        <v>48370320</v>
      </c>
      <c r="C404">
        <v>48372921</v>
      </c>
      <c r="D404">
        <v>37802443</v>
      </c>
      <c r="E404">
        <v>1</v>
      </c>
      <c r="F404">
        <v>1</v>
      </c>
      <c r="G404">
        <v>1</v>
      </c>
      <c r="H404">
        <v>2</v>
      </c>
      <c r="I404" t="s">
        <v>586</v>
      </c>
      <c r="J404" t="s">
        <v>587</v>
      </c>
      <c r="K404" t="s">
        <v>588</v>
      </c>
      <c r="L404">
        <v>1368</v>
      </c>
      <c r="N404">
        <v>1011</v>
      </c>
      <c r="O404" t="s">
        <v>516</v>
      </c>
      <c r="P404" t="s">
        <v>516</v>
      </c>
      <c r="Q404">
        <v>1</v>
      </c>
      <c r="W404">
        <v>0</v>
      </c>
      <c r="X404">
        <v>1447433125</v>
      </c>
      <c r="Y404">
        <v>2.0749999999999997</v>
      </c>
      <c r="AA404">
        <v>0</v>
      </c>
      <c r="AB404">
        <v>981.95</v>
      </c>
      <c r="AC404">
        <v>252.65</v>
      </c>
      <c r="AD404">
        <v>0</v>
      </c>
      <c r="AE404">
        <v>0</v>
      </c>
      <c r="AF404">
        <v>124.14</v>
      </c>
      <c r="AG404">
        <v>12.1</v>
      </c>
      <c r="AH404">
        <v>0</v>
      </c>
      <c r="AI404">
        <v>1</v>
      </c>
      <c r="AJ404">
        <v>7.91</v>
      </c>
      <c r="AK404">
        <v>20.88</v>
      </c>
      <c r="AL404">
        <v>1</v>
      </c>
      <c r="AN404">
        <v>0</v>
      </c>
      <c r="AO404">
        <v>1</v>
      </c>
      <c r="AP404">
        <v>1</v>
      </c>
      <c r="AQ404">
        <v>0</v>
      </c>
      <c r="AR404">
        <v>0</v>
      </c>
      <c r="AS404" t="s">
        <v>3</v>
      </c>
      <c r="AT404">
        <v>1.66</v>
      </c>
      <c r="AU404" t="s">
        <v>160</v>
      </c>
      <c r="AV404">
        <v>0</v>
      </c>
      <c r="AW404">
        <v>2</v>
      </c>
      <c r="AX404">
        <v>48372942</v>
      </c>
      <c r="AY404">
        <v>1</v>
      </c>
      <c r="AZ404">
        <v>0</v>
      </c>
      <c r="BA404">
        <v>406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CX404">
        <f>Y404*Source!I173</f>
        <v>7.4077499999999991E-2</v>
      </c>
      <c r="CY404">
        <f>AB404</f>
        <v>981.95</v>
      </c>
      <c r="CZ404">
        <f>AF404</f>
        <v>124.14</v>
      </c>
      <c r="DA404">
        <f>AJ404</f>
        <v>7.91</v>
      </c>
      <c r="DB404">
        <v>0</v>
      </c>
    </row>
    <row r="405" spans="1:106">
      <c r="A405">
        <f>ROW(Source!A173)</f>
        <v>173</v>
      </c>
      <c r="B405">
        <v>48370320</v>
      </c>
      <c r="C405">
        <v>48372921</v>
      </c>
      <c r="D405">
        <v>37803075</v>
      </c>
      <c r="E405">
        <v>1</v>
      </c>
      <c r="F405">
        <v>1</v>
      </c>
      <c r="G405">
        <v>1</v>
      </c>
      <c r="H405">
        <v>2</v>
      </c>
      <c r="I405" t="s">
        <v>768</v>
      </c>
      <c r="J405" t="s">
        <v>769</v>
      </c>
      <c r="K405" t="s">
        <v>770</v>
      </c>
      <c r="L405">
        <v>1368</v>
      </c>
      <c r="N405">
        <v>1011</v>
      </c>
      <c r="O405" t="s">
        <v>516</v>
      </c>
      <c r="P405" t="s">
        <v>516</v>
      </c>
      <c r="Q405">
        <v>1</v>
      </c>
      <c r="W405">
        <v>0</v>
      </c>
      <c r="X405">
        <v>590385320</v>
      </c>
      <c r="Y405">
        <v>2.2374999999999998</v>
      </c>
      <c r="AA405">
        <v>0</v>
      </c>
      <c r="AB405">
        <v>168.27</v>
      </c>
      <c r="AC405">
        <v>0</v>
      </c>
      <c r="AD405">
        <v>0</v>
      </c>
      <c r="AE405">
        <v>0</v>
      </c>
      <c r="AF405">
        <v>33.19</v>
      </c>
      <c r="AG405">
        <v>0</v>
      </c>
      <c r="AH405">
        <v>0</v>
      </c>
      <c r="AI405">
        <v>1</v>
      </c>
      <c r="AJ405">
        <v>5.07</v>
      </c>
      <c r="AK405">
        <v>20.88</v>
      </c>
      <c r="AL405">
        <v>1</v>
      </c>
      <c r="AN405">
        <v>0</v>
      </c>
      <c r="AO405">
        <v>1</v>
      </c>
      <c r="AP405">
        <v>1</v>
      </c>
      <c r="AQ405">
        <v>0</v>
      </c>
      <c r="AR405">
        <v>0</v>
      </c>
      <c r="AS405" t="s">
        <v>3</v>
      </c>
      <c r="AT405">
        <v>1.79</v>
      </c>
      <c r="AU405" t="s">
        <v>160</v>
      </c>
      <c r="AV405">
        <v>0</v>
      </c>
      <c r="AW405">
        <v>2</v>
      </c>
      <c r="AX405">
        <v>48372943</v>
      </c>
      <c r="AY405">
        <v>1</v>
      </c>
      <c r="AZ405">
        <v>0</v>
      </c>
      <c r="BA405">
        <v>407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CX405">
        <f>Y405*Source!I173</f>
        <v>7.9878749999999998E-2</v>
      </c>
      <c r="CY405">
        <f>AB405</f>
        <v>168.27</v>
      </c>
      <c r="CZ405">
        <f>AF405</f>
        <v>33.19</v>
      </c>
      <c r="DA405">
        <f>AJ405</f>
        <v>5.07</v>
      </c>
      <c r="DB405">
        <v>0</v>
      </c>
    </row>
    <row r="406" spans="1:106">
      <c r="A406">
        <f>ROW(Source!A173)</f>
        <v>173</v>
      </c>
      <c r="B406">
        <v>48370320</v>
      </c>
      <c r="C406">
        <v>48372921</v>
      </c>
      <c r="D406">
        <v>37804456</v>
      </c>
      <c r="E406">
        <v>1</v>
      </c>
      <c r="F406">
        <v>1</v>
      </c>
      <c r="G406">
        <v>1</v>
      </c>
      <c r="H406">
        <v>2</v>
      </c>
      <c r="I406" t="s">
        <v>530</v>
      </c>
      <c r="J406" t="s">
        <v>531</v>
      </c>
      <c r="K406" t="s">
        <v>532</v>
      </c>
      <c r="L406">
        <v>1368</v>
      </c>
      <c r="N406">
        <v>1011</v>
      </c>
      <c r="O406" t="s">
        <v>516</v>
      </c>
      <c r="P406" t="s">
        <v>516</v>
      </c>
      <c r="Q406">
        <v>1</v>
      </c>
      <c r="W406">
        <v>0</v>
      </c>
      <c r="X406">
        <v>-671646184</v>
      </c>
      <c r="Y406">
        <v>2.4874999999999998</v>
      </c>
      <c r="AA406">
        <v>0</v>
      </c>
      <c r="AB406">
        <v>844.19</v>
      </c>
      <c r="AC406">
        <v>216.11</v>
      </c>
      <c r="AD406">
        <v>0</v>
      </c>
      <c r="AE406">
        <v>0</v>
      </c>
      <c r="AF406">
        <v>91.76</v>
      </c>
      <c r="AG406">
        <v>10.35</v>
      </c>
      <c r="AH406">
        <v>0</v>
      </c>
      <c r="AI406">
        <v>1</v>
      </c>
      <c r="AJ406">
        <v>9.1999999999999993</v>
      </c>
      <c r="AK406">
        <v>20.88</v>
      </c>
      <c r="AL406">
        <v>1</v>
      </c>
      <c r="AN406">
        <v>0</v>
      </c>
      <c r="AO406">
        <v>1</v>
      </c>
      <c r="AP406">
        <v>1</v>
      </c>
      <c r="AQ406">
        <v>0</v>
      </c>
      <c r="AR406">
        <v>0</v>
      </c>
      <c r="AS406" t="s">
        <v>3</v>
      </c>
      <c r="AT406">
        <v>1.99</v>
      </c>
      <c r="AU406" t="s">
        <v>160</v>
      </c>
      <c r="AV406">
        <v>0</v>
      </c>
      <c r="AW406">
        <v>2</v>
      </c>
      <c r="AX406">
        <v>48372944</v>
      </c>
      <c r="AY406">
        <v>1</v>
      </c>
      <c r="AZ406">
        <v>0</v>
      </c>
      <c r="BA406">
        <v>408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CX406">
        <f>Y406*Source!I173</f>
        <v>8.8803750000000001E-2</v>
      </c>
      <c r="CY406">
        <f>AB406</f>
        <v>844.19</v>
      </c>
      <c r="CZ406">
        <f>AF406</f>
        <v>91.76</v>
      </c>
      <c r="DA406">
        <f>AJ406</f>
        <v>9.1999999999999993</v>
      </c>
      <c r="DB406">
        <v>0</v>
      </c>
    </row>
    <row r="407" spans="1:106">
      <c r="A407">
        <f>ROW(Source!A173)</f>
        <v>173</v>
      </c>
      <c r="B407">
        <v>48370320</v>
      </c>
      <c r="C407">
        <v>48372921</v>
      </c>
      <c r="D407">
        <v>37736992</v>
      </c>
      <c r="E407">
        <v>1</v>
      </c>
      <c r="F407">
        <v>1</v>
      </c>
      <c r="G407">
        <v>1</v>
      </c>
      <c r="H407">
        <v>3</v>
      </c>
      <c r="I407" t="s">
        <v>771</v>
      </c>
      <c r="J407" t="s">
        <v>772</v>
      </c>
      <c r="K407" t="s">
        <v>773</v>
      </c>
      <c r="L407">
        <v>1348</v>
      </c>
      <c r="N407">
        <v>1009</v>
      </c>
      <c r="O407" t="s">
        <v>536</v>
      </c>
      <c r="P407" t="s">
        <v>536</v>
      </c>
      <c r="Q407">
        <v>1000</v>
      </c>
      <c r="W407">
        <v>0</v>
      </c>
      <c r="X407">
        <v>-1999067301</v>
      </c>
      <c r="Y407">
        <v>2.0999999999999999E-3</v>
      </c>
      <c r="AA407">
        <v>45468.32</v>
      </c>
      <c r="AB407">
        <v>0</v>
      </c>
      <c r="AC407">
        <v>0</v>
      </c>
      <c r="AD407">
        <v>0</v>
      </c>
      <c r="AE407">
        <v>9167</v>
      </c>
      <c r="AF407">
        <v>0</v>
      </c>
      <c r="AG407">
        <v>0</v>
      </c>
      <c r="AH407">
        <v>0</v>
      </c>
      <c r="AI407">
        <v>4.96</v>
      </c>
      <c r="AJ407">
        <v>1</v>
      </c>
      <c r="AK407">
        <v>1</v>
      </c>
      <c r="AL407">
        <v>1</v>
      </c>
      <c r="AN407">
        <v>0</v>
      </c>
      <c r="AO407">
        <v>1</v>
      </c>
      <c r="AP407">
        <v>0</v>
      </c>
      <c r="AQ407">
        <v>0</v>
      </c>
      <c r="AR407">
        <v>0</v>
      </c>
      <c r="AS407" t="s">
        <v>3</v>
      </c>
      <c r="AT407">
        <v>2.0999999999999999E-3</v>
      </c>
      <c r="AU407" t="s">
        <v>3</v>
      </c>
      <c r="AV407">
        <v>0</v>
      </c>
      <c r="AW407">
        <v>2</v>
      </c>
      <c r="AX407">
        <v>48372945</v>
      </c>
      <c r="AY407">
        <v>1</v>
      </c>
      <c r="AZ407">
        <v>0</v>
      </c>
      <c r="BA407">
        <v>409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CX407">
        <f>Y407*Source!I173</f>
        <v>7.4969999999999995E-5</v>
      </c>
      <c r="CY407">
        <f t="shared" ref="CY407:CY417" si="33">AA407</f>
        <v>45468.32</v>
      </c>
      <c r="CZ407">
        <f t="shared" ref="CZ407:CZ417" si="34">AE407</f>
        <v>9167</v>
      </c>
      <c r="DA407">
        <f t="shared" ref="DA407:DA417" si="35">AI407</f>
        <v>4.96</v>
      </c>
      <c r="DB407">
        <v>0</v>
      </c>
    </row>
    <row r="408" spans="1:106">
      <c r="A408">
        <f>ROW(Source!A173)</f>
        <v>173</v>
      </c>
      <c r="B408">
        <v>48370320</v>
      </c>
      <c r="C408">
        <v>48372921</v>
      </c>
      <c r="D408">
        <v>37734130</v>
      </c>
      <c r="E408">
        <v>1</v>
      </c>
      <c r="F408">
        <v>1</v>
      </c>
      <c r="G408">
        <v>1</v>
      </c>
      <c r="H408">
        <v>3</v>
      </c>
      <c r="I408" t="s">
        <v>774</v>
      </c>
      <c r="J408" t="s">
        <v>775</v>
      </c>
      <c r="K408" t="s">
        <v>776</v>
      </c>
      <c r="L408">
        <v>1348</v>
      </c>
      <c r="N408">
        <v>1009</v>
      </c>
      <c r="O408" t="s">
        <v>536</v>
      </c>
      <c r="P408" t="s">
        <v>536</v>
      </c>
      <c r="Q408">
        <v>1000</v>
      </c>
      <c r="W408">
        <v>0</v>
      </c>
      <c r="X408">
        <v>1514578280</v>
      </c>
      <c r="Y408">
        <v>2.3599999999999999E-2</v>
      </c>
      <c r="AA408">
        <v>8898.75</v>
      </c>
      <c r="AB408">
        <v>0</v>
      </c>
      <c r="AC408">
        <v>0</v>
      </c>
      <c r="AD408">
        <v>0</v>
      </c>
      <c r="AE408">
        <v>1695</v>
      </c>
      <c r="AF408">
        <v>0</v>
      </c>
      <c r="AG408">
        <v>0</v>
      </c>
      <c r="AH408">
        <v>0</v>
      </c>
      <c r="AI408">
        <v>5.25</v>
      </c>
      <c r="AJ408">
        <v>1</v>
      </c>
      <c r="AK408">
        <v>1</v>
      </c>
      <c r="AL408">
        <v>1</v>
      </c>
      <c r="AN408">
        <v>0</v>
      </c>
      <c r="AO408">
        <v>1</v>
      </c>
      <c r="AP408">
        <v>0</v>
      </c>
      <c r="AQ408">
        <v>0</v>
      </c>
      <c r="AR408">
        <v>0</v>
      </c>
      <c r="AS408" t="s">
        <v>3</v>
      </c>
      <c r="AT408">
        <v>2.3599999999999999E-2</v>
      </c>
      <c r="AU408" t="s">
        <v>3</v>
      </c>
      <c r="AV408">
        <v>0</v>
      </c>
      <c r="AW408">
        <v>2</v>
      </c>
      <c r="AX408">
        <v>48372946</v>
      </c>
      <c r="AY408">
        <v>1</v>
      </c>
      <c r="AZ408">
        <v>0</v>
      </c>
      <c r="BA408">
        <v>410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CX408">
        <f>Y408*Source!I173</f>
        <v>8.4252000000000003E-4</v>
      </c>
      <c r="CY408">
        <f t="shared" si="33"/>
        <v>8898.75</v>
      </c>
      <c r="CZ408">
        <f t="shared" si="34"/>
        <v>1695</v>
      </c>
      <c r="DA408">
        <f t="shared" si="35"/>
        <v>5.25</v>
      </c>
      <c r="DB408">
        <v>0</v>
      </c>
    </row>
    <row r="409" spans="1:106">
      <c r="A409">
        <f>ROW(Source!A173)</f>
        <v>173</v>
      </c>
      <c r="B409">
        <v>48370320</v>
      </c>
      <c r="C409">
        <v>48372921</v>
      </c>
      <c r="D409">
        <v>37731351</v>
      </c>
      <c r="E409">
        <v>1</v>
      </c>
      <c r="F409">
        <v>1</v>
      </c>
      <c r="G409">
        <v>1</v>
      </c>
      <c r="H409">
        <v>3</v>
      </c>
      <c r="I409" t="s">
        <v>777</v>
      </c>
      <c r="J409" t="s">
        <v>778</v>
      </c>
      <c r="K409" t="s">
        <v>779</v>
      </c>
      <c r="L409">
        <v>1327</v>
      </c>
      <c r="N409">
        <v>1005</v>
      </c>
      <c r="O409" t="s">
        <v>189</v>
      </c>
      <c r="P409" t="s">
        <v>189</v>
      </c>
      <c r="Q409">
        <v>1</v>
      </c>
      <c r="W409">
        <v>0</v>
      </c>
      <c r="X409">
        <v>1800201589</v>
      </c>
      <c r="Y409">
        <v>89</v>
      </c>
      <c r="AA409">
        <v>23.28</v>
      </c>
      <c r="AB409">
        <v>0</v>
      </c>
      <c r="AC409">
        <v>0</v>
      </c>
      <c r="AD409">
        <v>0</v>
      </c>
      <c r="AE409">
        <v>5.82</v>
      </c>
      <c r="AF409">
        <v>0</v>
      </c>
      <c r="AG409">
        <v>0</v>
      </c>
      <c r="AH409">
        <v>0</v>
      </c>
      <c r="AI409">
        <v>4</v>
      </c>
      <c r="AJ409">
        <v>1</v>
      </c>
      <c r="AK409">
        <v>1</v>
      </c>
      <c r="AL409">
        <v>1</v>
      </c>
      <c r="AN409">
        <v>0</v>
      </c>
      <c r="AO409">
        <v>1</v>
      </c>
      <c r="AP409">
        <v>0</v>
      </c>
      <c r="AQ409">
        <v>0</v>
      </c>
      <c r="AR409">
        <v>0</v>
      </c>
      <c r="AS409" t="s">
        <v>3</v>
      </c>
      <c r="AT409">
        <v>89</v>
      </c>
      <c r="AU409" t="s">
        <v>3</v>
      </c>
      <c r="AV409">
        <v>0</v>
      </c>
      <c r="AW409">
        <v>2</v>
      </c>
      <c r="AX409">
        <v>48372947</v>
      </c>
      <c r="AY409">
        <v>1</v>
      </c>
      <c r="AZ409">
        <v>0</v>
      </c>
      <c r="BA409">
        <v>411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CX409">
        <f>Y409*Source!I173</f>
        <v>3.1773000000000002</v>
      </c>
      <c r="CY409">
        <f t="shared" si="33"/>
        <v>23.28</v>
      </c>
      <c r="CZ409">
        <f t="shared" si="34"/>
        <v>5.82</v>
      </c>
      <c r="DA409">
        <f t="shared" si="35"/>
        <v>4</v>
      </c>
      <c r="DB409">
        <v>0</v>
      </c>
    </row>
    <row r="410" spans="1:106">
      <c r="A410">
        <f>ROW(Source!A173)</f>
        <v>173</v>
      </c>
      <c r="B410">
        <v>48370320</v>
      </c>
      <c r="C410">
        <v>48372921</v>
      </c>
      <c r="D410">
        <v>37735313</v>
      </c>
      <c r="E410">
        <v>1</v>
      </c>
      <c r="F410">
        <v>1</v>
      </c>
      <c r="G410">
        <v>1</v>
      </c>
      <c r="H410">
        <v>3</v>
      </c>
      <c r="I410" t="s">
        <v>780</v>
      </c>
      <c r="J410" t="s">
        <v>781</v>
      </c>
      <c r="K410" t="s">
        <v>782</v>
      </c>
      <c r="L410">
        <v>1346</v>
      </c>
      <c r="N410">
        <v>1009</v>
      </c>
      <c r="O410" t="s">
        <v>172</v>
      </c>
      <c r="P410" t="s">
        <v>172</v>
      </c>
      <c r="Q410">
        <v>1</v>
      </c>
      <c r="W410">
        <v>0</v>
      </c>
      <c r="X410">
        <v>-707525717</v>
      </c>
      <c r="Y410">
        <v>37.5</v>
      </c>
      <c r="AA410">
        <v>64.959999999999994</v>
      </c>
      <c r="AB410">
        <v>0</v>
      </c>
      <c r="AC410">
        <v>0</v>
      </c>
      <c r="AD410">
        <v>0</v>
      </c>
      <c r="AE410">
        <v>10.41</v>
      </c>
      <c r="AF410">
        <v>0</v>
      </c>
      <c r="AG410">
        <v>0</v>
      </c>
      <c r="AH410">
        <v>0</v>
      </c>
      <c r="AI410">
        <v>6.24</v>
      </c>
      <c r="AJ410">
        <v>1</v>
      </c>
      <c r="AK410">
        <v>1</v>
      </c>
      <c r="AL410">
        <v>1</v>
      </c>
      <c r="AN410">
        <v>0</v>
      </c>
      <c r="AO410">
        <v>1</v>
      </c>
      <c r="AP410">
        <v>0</v>
      </c>
      <c r="AQ410">
        <v>0</v>
      </c>
      <c r="AR410">
        <v>0</v>
      </c>
      <c r="AS410" t="s">
        <v>3</v>
      </c>
      <c r="AT410">
        <v>37.5</v>
      </c>
      <c r="AU410" t="s">
        <v>3</v>
      </c>
      <c r="AV410">
        <v>0</v>
      </c>
      <c r="AW410">
        <v>2</v>
      </c>
      <c r="AX410">
        <v>48372948</v>
      </c>
      <c r="AY410">
        <v>1</v>
      </c>
      <c r="AZ410">
        <v>0</v>
      </c>
      <c r="BA410">
        <v>412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CX410">
        <f>Y410*Source!I173</f>
        <v>1.3387500000000001</v>
      </c>
      <c r="CY410">
        <f t="shared" si="33"/>
        <v>64.959999999999994</v>
      </c>
      <c r="CZ410">
        <f t="shared" si="34"/>
        <v>10.41</v>
      </c>
      <c r="DA410">
        <f t="shared" si="35"/>
        <v>6.24</v>
      </c>
      <c r="DB410">
        <v>0</v>
      </c>
    </row>
    <row r="411" spans="1:106">
      <c r="A411">
        <f>ROW(Source!A173)</f>
        <v>173</v>
      </c>
      <c r="B411">
        <v>48370320</v>
      </c>
      <c r="C411">
        <v>48372921</v>
      </c>
      <c r="D411">
        <v>37736933</v>
      </c>
      <c r="E411">
        <v>1</v>
      </c>
      <c r="F411">
        <v>1</v>
      </c>
      <c r="G411">
        <v>1</v>
      </c>
      <c r="H411">
        <v>3</v>
      </c>
      <c r="I411" t="s">
        <v>783</v>
      </c>
      <c r="J411" t="s">
        <v>784</v>
      </c>
      <c r="K411" t="s">
        <v>785</v>
      </c>
      <c r="L411">
        <v>1348</v>
      </c>
      <c r="N411">
        <v>1009</v>
      </c>
      <c r="O411" t="s">
        <v>536</v>
      </c>
      <c r="P411" t="s">
        <v>536</v>
      </c>
      <c r="Q411">
        <v>1000</v>
      </c>
      <c r="W411">
        <v>0</v>
      </c>
      <c r="X411">
        <v>-667930777</v>
      </c>
      <c r="Y411">
        <v>4.13E-3</v>
      </c>
      <c r="AA411">
        <v>51873.36</v>
      </c>
      <c r="AB411">
        <v>0</v>
      </c>
      <c r="AC411">
        <v>0</v>
      </c>
      <c r="AD411">
        <v>0</v>
      </c>
      <c r="AE411">
        <v>12936</v>
      </c>
      <c r="AF411">
        <v>0</v>
      </c>
      <c r="AG411">
        <v>0</v>
      </c>
      <c r="AH411">
        <v>0</v>
      </c>
      <c r="AI411">
        <v>4.01</v>
      </c>
      <c r="AJ411">
        <v>1</v>
      </c>
      <c r="AK411">
        <v>1</v>
      </c>
      <c r="AL411">
        <v>1</v>
      </c>
      <c r="AN411">
        <v>0</v>
      </c>
      <c r="AO411">
        <v>1</v>
      </c>
      <c r="AP411">
        <v>0</v>
      </c>
      <c r="AQ411">
        <v>0</v>
      </c>
      <c r="AR411">
        <v>0</v>
      </c>
      <c r="AS411" t="s">
        <v>3</v>
      </c>
      <c r="AT411">
        <v>4.13E-3</v>
      </c>
      <c r="AU411" t="s">
        <v>3</v>
      </c>
      <c r="AV411">
        <v>0</v>
      </c>
      <c r="AW411">
        <v>2</v>
      </c>
      <c r="AX411">
        <v>48372949</v>
      </c>
      <c r="AY411">
        <v>1</v>
      </c>
      <c r="AZ411">
        <v>0</v>
      </c>
      <c r="BA411">
        <v>413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CX411">
        <f>Y411*Source!I173</f>
        <v>1.47441E-4</v>
      </c>
      <c r="CY411">
        <f t="shared" si="33"/>
        <v>51873.36</v>
      </c>
      <c r="CZ411">
        <f t="shared" si="34"/>
        <v>12936</v>
      </c>
      <c r="DA411">
        <f t="shared" si="35"/>
        <v>4.01</v>
      </c>
      <c r="DB411">
        <v>0</v>
      </c>
    </row>
    <row r="412" spans="1:106">
      <c r="A412">
        <f>ROW(Source!A173)</f>
        <v>173</v>
      </c>
      <c r="B412">
        <v>48370320</v>
      </c>
      <c r="C412">
        <v>48372921</v>
      </c>
      <c r="D412">
        <v>37730106</v>
      </c>
      <c r="E412">
        <v>1</v>
      </c>
      <c r="F412">
        <v>1</v>
      </c>
      <c r="G412">
        <v>1</v>
      </c>
      <c r="H412">
        <v>3</v>
      </c>
      <c r="I412" t="s">
        <v>786</v>
      </c>
      <c r="J412" t="s">
        <v>787</v>
      </c>
      <c r="K412" t="s">
        <v>788</v>
      </c>
      <c r="L412">
        <v>1296</v>
      </c>
      <c r="N412">
        <v>1002</v>
      </c>
      <c r="O412" t="s">
        <v>789</v>
      </c>
      <c r="P412" t="s">
        <v>789</v>
      </c>
      <c r="Q412">
        <v>1</v>
      </c>
      <c r="W412">
        <v>0</v>
      </c>
      <c r="X412">
        <v>387634607</v>
      </c>
      <c r="Y412">
        <v>32.4</v>
      </c>
      <c r="AA412">
        <v>241.6</v>
      </c>
      <c r="AB412">
        <v>0</v>
      </c>
      <c r="AC412">
        <v>0</v>
      </c>
      <c r="AD412">
        <v>0</v>
      </c>
      <c r="AE412">
        <v>47.56</v>
      </c>
      <c r="AF412">
        <v>0</v>
      </c>
      <c r="AG412">
        <v>0</v>
      </c>
      <c r="AH412">
        <v>0</v>
      </c>
      <c r="AI412">
        <v>5.08</v>
      </c>
      <c r="AJ412">
        <v>1</v>
      </c>
      <c r="AK412">
        <v>1</v>
      </c>
      <c r="AL412">
        <v>1</v>
      </c>
      <c r="AN412">
        <v>0</v>
      </c>
      <c r="AO412">
        <v>1</v>
      </c>
      <c r="AP412">
        <v>0</v>
      </c>
      <c r="AQ412">
        <v>0</v>
      </c>
      <c r="AR412">
        <v>0</v>
      </c>
      <c r="AS412" t="s">
        <v>3</v>
      </c>
      <c r="AT412">
        <v>32.4</v>
      </c>
      <c r="AU412" t="s">
        <v>3</v>
      </c>
      <c r="AV412">
        <v>0</v>
      </c>
      <c r="AW412">
        <v>2</v>
      </c>
      <c r="AX412">
        <v>48372950</v>
      </c>
      <c r="AY412">
        <v>1</v>
      </c>
      <c r="AZ412">
        <v>0</v>
      </c>
      <c r="BA412">
        <v>414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CX412">
        <f>Y412*Source!I173</f>
        <v>1.1566799999999999</v>
      </c>
      <c r="CY412">
        <f t="shared" si="33"/>
        <v>241.6</v>
      </c>
      <c r="CZ412">
        <f t="shared" si="34"/>
        <v>47.56</v>
      </c>
      <c r="DA412">
        <f t="shared" si="35"/>
        <v>5.08</v>
      </c>
      <c r="DB412">
        <v>0</v>
      </c>
    </row>
    <row r="413" spans="1:106">
      <c r="A413">
        <f>ROW(Source!A173)</f>
        <v>173</v>
      </c>
      <c r="B413">
        <v>48370320</v>
      </c>
      <c r="C413">
        <v>48372921</v>
      </c>
      <c r="D413">
        <v>37737435</v>
      </c>
      <c r="E413">
        <v>1</v>
      </c>
      <c r="F413">
        <v>1</v>
      </c>
      <c r="G413">
        <v>1</v>
      </c>
      <c r="H413">
        <v>3</v>
      </c>
      <c r="I413" t="s">
        <v>790</v>
      </c>
      <c r="J413" t="s">
        <v>791</v>
      </c>
      <c r="K413" t="s">
        <v>792</v>
      </c>
      <c r="L413">
        <v>1035</v>
      </c>
      <c r="N413">
        <v>1013</v>
      </c>
      <c r="O413" t="s">
        <v>255</v>
      </c>
      <c r="P413" t="s">
        <v>255</v>
      </c>
      <c r="Q413">
        <v>1</v>
      </c>
      <c r="W413">
        <v>0</v>
      </c>
      <c r="X413">
        <v>1625264712</v>
      </c>
      <c r="Y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1</v>
      </c>
      <c r="AJ413">
        <v>1</v>
      </c>
      <c r="AK413">
        <v>1</v>
      </c>
      <c r="AL413">
        <v>1</v>
      </c>
      <c r="AN413">
        <v>1</v>
      </c>
      <c r="AO413">
        <v>0</v>
      </c>
      <c r="AP413">
        <v>0</v>
      </c>
      <c r="AQ413">
        <v>0</v>
      </c>
      <c r="AR413">
        <v>0</v>
      </c>
      <c r="AS413" t="s">
        <v>3</v>
      </c>
      <c r="AT413">
        <v>0</v>
      </c>
      <c r="AU413" t="s">
        <v>3</v>
      </c>
      <c r="AV413">
        <v>0</v>
      </c>
      <c r="AW413">
        <v>2</v>
      </c>
      <c r="AX413">
        <v>48372951</v>
      </c>
      <c r="AY413">
        <v>1</v>
      </c>
      <c r="AZ413">
        <v>0</v>
      </c>
      <c r="BA413">
        <v>415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CX413">
        <f>Y413*Source!I173</f>
        <v>0</v>
      </c>
      <c r="CY413">
        <f t="shared" si="33"/>
        <v>0</v>
      </c>
      <c r="CZ413">
        <f t="shared" si="34"/>
        <v>0</v>
      </c>
      <c r="DA413">
        <f t="shared" si="35"/>
        <v>1</v>
      </c>
      <c r="DB413">
        <v>0</v>
      </c>
    </row>
    <row r="414" spans="1:106">
      <c r="A414">
        <f>ROW(Source!A173)</f>
        <v>173</v>
      </c>
      <c r="B414">
        <v>48370320</v>
      </c>
      <c r="C414">
        <v>48372921</v>
      </c>
      <c r="D414">
        <v>37738205</v>
      </c>
      <c r="E414">
        <v>1</v>
      </c>
      <c r="F414">
        <v>1</v>
      </c>
      <c r="G414">
        <v>1</v>
      </c>
      <c r="H414">
        <v>3</v>
      </c>
      <c r="I414" t="s">
        <v>793</v>
      </c>
      <c r="J414" t="s">
        <v>794</v>
      </c>
      <c r="K414" t="s">
        <v>795</v>
      </c>
      <c r="L414">
        <v>1339</v>
      </c>
      <c r="N414">
        <v>1007</v>
      </c>
      <c r="O414" t="s">
        <v>543</v>
      </c>
      <c r="P414" t="s">
        <v>543</v>
      </c>
      <c r="Q414">
        <v>1</v>
      </c>
      <c r="W414">
        <v>0</v>
      </c>
      <c r="X414">
        <v>-222398320</v>
      </c>
      <c r="Y414">
        <v>0.08</v>
      </c>
      <c r="AA414">
        <v>5225.54</v>
      </c>
      <c r="AB414">
        <v>0</v>
      </c>
      <c r="AC414">
        <v>0</v>
      </c>
      <c r="AD414">
        <v>0</v>
      </c>
      <c r="AE414">
        <v>919.99</v>
      </c>
      <c r="AF414">
        <v>0</v>
      </c>
      <c r="AG414">
        <v>0</v>
      </c>
      <c r="AH414">
        <v>0</v>
      </c>
      <c r="AI414">
        <v>5.68</v>
      </c>
      <c r="AJ414">
        <v>1</v>
      </c>
      <c r="AK414">
        <v>1</v>
      </c>
      <c r="AL414">
        <v>1</v>
      </c>
      <c r="AN414">
        <v>0</v>
      </c>
      <c r="AO414">
        <v>1</v>
      </c>
      <c r="AP414">
        <v>0</v>
      </c>
      <c r="AQ414">
        <v>0</v>
      </c>
      <c r="AR414">
        <v>0</v>
      </c>
      <c r="AS414" t="s">
        <v>3</v>
      </c>
      <c r="AT414">
        <v>0.08</v>
      </c>
      <c r="AU414" t="s">
        <v>3</v>
      </c>
      <c r="AV414">
        <v>0</v>
      </c>
      <c r="AW414">
        <v>2</v>
      </c>
      <c r="AX414">
        <v>48372952</v>
      </c>
      <c r="AY414">
        <v>1</v>
      </c>
      <c r="AZ414">
        <v>0</v>
      </c>
      <c r="BA414">
        <v>416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CX414">
        <f>Y414*Source!I173</f>
        <v>2.8560000000000005E-3</v>
      </c>
      <c r="CY414">
        <f t="shared" si="33"/>
        <v>5225.54</v>
      </c>
      <c r="CZ414">
        <f t="shared" si="34"/>
        <v>919.99</v>
      </c>
      <c r="DA414">
        <f t="shared" si="35"/>
        <v>5.68</v>
      </c>
      <c r="DB414">
        <v>0</v>
      </c>
    </row>
    <row r="415" spans="1:106">
      <c r="A415">
        <f>ROW(Source!A173)</f>
        <v>173</v>
      </c>
      <c r="B415">
        <v>48370320</v>
      </c>
      <c r="C415">
        <v>48372921</v>
      </c>
      <c r="D415">
        <v>37752537</v>
      </c>
      <c r="E415">
        <v>1</v>
      </c>
      <c r="F415">
        <v>1</v>
      </c>
      <c r="G415">
        <v>1</v>
      </c>
      <c r="H415">
        <v>3</v>
      </c>
      <c r="I415" t="s">
        <v>245</v>
      </c>
      <c r="J415" t="s">
        <v>247</v>
      </c>
      <c r="K415" t="s">
        <v>246</v>
      </c>
      <c r="L415">
        <v>1327</v>
      </c>
      <c r="N415">
        <v>1005</v>
      </c>
      <c r="O415" t="s">
        <v>189</v>
      </c>
      <c r="P415" t="s">
        <v>189</v>
      </c>
      <c r="Q415">
        <v>1</v>
      </c>
      <c r="W415">
        <v>1</v>
      </c>
      <c r="X415">
        <v>2099777272</v>
      </c>
      <c r="Y415">
        <v>-100</v>
      </c>
      <c r="AA415">
        <v>1318.48</v>
      </c>
      <c r="AB415">
        <v>0</v>
      </c>
      <c r="AC415">
        <v>0</v>
      </c>
      <c r="AD415">
        <v>0</v>
      </c>
      <c r="AE415">
        <v>208.29</v>
      </c>
      <c r="AF415">
        <v>0</v>
      </c>
      <c r="AG415">
        <v>0</v>
      </c>
      <c r="AH415">
        <v>0</v>
      </c>
      <c r="AI415">
        <v>6.33</v>
      </c>
      <c r="AJ415">
        <v>1</v>
      </c>
      <c r="AK415">
        <v>1</v>
      </c>
      <c r="AL415">
        <v>1</v>
      </c>
      <c r="AN415">
        <v>0</v>
      </c>
      <c r="AO415">
        <v>1</v>
      </c>
      <c r="AP415">
        <v>0</v>
      </c>
      <c r="AQ415">
        <v>0</v>
      </c>
      <c r="AR415">
        <v>0</v>
      </c>
      <c r="AS415" t="s">
        <v>3</v>
      </c>
      <c r="AT415">
        <v>-100</v>
      </c>
      <c r="AU415" t="s">
        <v>3</v>
      </c>
      <c r="AV415">
        <v>0</v>
      </c>
      <c r="AW415">
        <v>2</v>
      </c>
      <c r="AX415">
        <v>48372953</v>
      </c>
      <c r="AY415">
        <v>1</v>
      </c>
      <c r="AZ415">
        <v>6144</v>
      </c>
      <c r="BA415">
        <v>417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CX415">
        <f>Y415*Source!I173</f>
        <v>-3.5700000000000003</v>
      </c>
      <c r="CY415">
        <f t="shared" si="33"/>
        <v>1318.48</v>
      </c>
      <c r="CZ415">
        <f t="shared" si="34"/>
        <v>208.29</v>
      </c>
      <c r="DA415">
        <f t="shared" si="35"/>
        <v>6.33</v>
      </c>
      <c r="DB415">
        <v>0</v>
      </c>
    </row>
    <row r="416" spans="1:106">
      <c r="A416">
        <f>ROW(Source!A173)</f>
        <v>173</v>
      </c>
      <c r="B416">
        <v>48370320</v>
      </c>
      <c r="C416">
        <v>48372921</v>
      </c>
      <c r="D416">
        <v>37768070</v>
      </c>
      <c r="E416">
        <v>1</v>
      </c>
      <c r="F416">
        <v>1</v>
      </c>
      <c r="G416">
        <v>1</v>
      </c>
      <c r="H416">
        <v>3</v>
      </c>
      <c r="I416" t="s">
        <v>796</v>
      </c>
      <c r="J416" t="s">
        <v>797</v>
      </c>
      <c r="K416" t="s">
        <v>798</v>
      </c>
      <c r="L416">
        <v>1339</v>
      </c>
      <c r="N416">
        <v>1007</v>
      </c>
      <c r="O416" t="s">
        <v>543</v>
      </c>
      <c r="P416" t="s">
        <v>543</v>
      </c>
      <c r="Q416">
        <v>1</v>
      </c>
      <c r="W416">
        <v>0</v>
      </c>
      <c r="X416">
        <v>523688817</v>
      </c>
      <c r="Y416">
        <v>0.105</v>
      </c>
      <c r="AA416">
        <v>2682</v>
      </c>
      <c r="AB416">
        <v>0</v>
      </c>
      <c r="AC416">
        <v>0</v>
      </c>
      <c r="AD416">
        <v>0</v>
      </c>
      <c r="AE416">
        <v>360</v>
      </c>
      <c r="AF416">
        <v>0</v>
      </c>
      <c r="AG416">
        <v>0</v>
      </c>
      <c r="AH416">
        <v>0</v>
      </c>
      <c r="AI416">
        <v>7.45</v>
      </c>
      <c r="AJ416">
        <v>1</v>
      </c>
      <c r="AK416">
        <v>1</v>
      </c>
      <c r="AL416">
        <v>1</v>
      </c>
      <c r="AN416">
        <v>0</v>
      </c>
      <c r="AO416">
        <v>1</v>
      </c>
      <c r="AP416">
        <v>0</v>
      </c>
      <c r="AQ416">
        <v>0</v>
      </c>
      <c r="AR416">
        <v>0</v>
      </c>
      <c r="AS416" t="s">
        <v>3</v>
      </c>
      <c r="AT416">
        <v>0.105</v>
      </c>
      <c r="AU416" t="s">
        <v>3</v>
      </c>
      <c r="AV416">
        <v>0</v>
      </c>
      <c r="AW416">
        <v>2</v>
      </c>
      <c r="AX416">
        <v>48372954</v>
      </c>
      <c r="AY416">
        <v>1</v>
      </c>
      <c r="AZ416">
        <v>0</v>
      </c>
      <c r="BA416">
        <v>418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CX416">
        <f>Y416*Source!I173</f>
        <v>3.7485000000000001E-3</v>
      </c>
      <c r="CY416">
        <f t="shared" si="33"/>
        <v>2682</v>
      </c>
      <c r="CZ416">
        <f t="shared" si="34"/>
        <v>360</v>
      </c>
      <c r="DA416">
        <f t="shared" si="35"/>
        <v>7.45</v>
      </c>
      <c r="DB416">
        <v>0</v>
      </c>
    </row>
    <row r="417" spans="1:106">
      <c r="A417">
        <f>ROW(Source!A173)</f>
        <v>173</v>
      </c>
      <c r="B417">
        <v>48370320</v>
      </c>
      <c r="C417">
        <v>48372921</v>
      </c>
      <c r="D417">
        <v>37777026</v>
      </c>
      <c r="E417">
        <v>1</v>
      </c>
      <c r="F417">
        <v>1</v>
      </c>
      <c r="G417">
        <v>1</v>
      </c>
      <c r="H417">
        <v>3</v>
      </c>
      <c r="I417" t="s">
        <v>645</v>
      </c>
      <c r="J417" t="s">
        <v>646</v>
      </c>
      <c r="K417" t="s">
        <v>647</v>
      </c>
      <c r="L417">
        <v>1348</v>
      </c>
      <c r="N417">
        <v>1009</v>
      </c>
      <c r="O417" t="s">
        <v>536</v>
      </c>
      <c r="P417" t="s">
        <v>536</v>
      </c>
      <c r="Q417">
        <v>1000</v>
      </c>
      <c r="W417">
        <v>0</v>
      </c>
      <c r="X417">
        <v>-1829182015</v>
      </c>
      <c r="Y417">
        <v>1.6E-2</v>
      </c>
      <c r="AA417">
        <v>4138.99</v>
      </c>
      <c r="AB417">
        <v>0</v>
      </c>
      <c r="AC417">
        <v>0</v>
      </c>
      <c r="AD417">
        <v>0</v>
      </c>
      <c r="AE417">
        <v>729.98</v>
      </c>
      <c r="AF417">
        <v>0</v>
      </c>
      <c r="AG417">
        <v>0</v>
      </c>
      <c r="AH417">
        <v>0</v>
      </c>
      <c r="AI417">
        <v>5.67</v>
      </c>
      <c r="AJ417">
        <v>1</v>
      </c>
      <c r="AK417">
        <v>1</v>
      </c>
      <c r="AL417">
        <v>1</v>
      </c>
      <c r="AN417">
        <v>0</v>
      </c>
      <c r="AO417">
        <v>1</v>
      </c>
      <c r="AP417">
        <v>0</v>
      </c>
      <c r="AQ417">
        <v>0</v>
      </c>
      <c r="AR417">
        <v>0</v>
      </c>
      <c r="AS417" t="s">
        <v>3</v>
      </c>
      <c r="AT417">
        <v>1.6E-2</v>
      </c>
      <c r="AU417" t="s">
        <v>3</v>
      </c>
      <c r="AV417">
        <v>0</v>
      </c>
      <c r="AW417">
        <v>2</v>
      </c>
      <c r="AX417">
        <v>48372955</v>
      </c>
      <c r="AY417">
        <v>1</v>
      </c>
      <c r="AZ417">
        <v>0</v>
      </c>
      <c r="BA417">
        <v>419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CX417">
        <f>Y417*Source!I173</f>
        <v>5.7120000000000001E-4</v>
      </c>
      <c r="CY417">
        <f t="shared" si="33"/>
        <v>4138.99</v>
      </c>
      <c r="CZ417">
        <f t="shared" si="34"/>
        <v>729.98</v>
      </c>
      <c r="DA417">
        <f t="shared" si="35"/>
        <v>5.67</v>
      </c>
      <c r="DB417">
        <v>0</v>
      </c>
    </row>
    <row r="418" spans="1:106">
      <c r="A418">
        <f>ROW(Source!A177)</f>
        <v>177</v>
      </c>
      <c r="B418">
        <v>48370320</v>
      </c>
      <c r="C418">
        <v>48372992</v>
      </c>
      <c r="D418">
        <v>23131263</v>
      </c>
      <c r="E418">
        <v>1</v>
      </c>
      <c r="F418">
        <v>1</v>
      </c>
      <c r="G418">
        <v>1</v>
      </c>
      <c r="H418">
        <v>1</v>
      </c>
      <c r="I418" t="s">
        <v>799</v>
      </c>
      <c r="J418" t="s">
        <v>3</v>
      </c>
      <c r="K418" t="s">
        <v>800</v>
      </c>
      <c r="L418">
        <v>1369</v>
      </c>
      <c r="N418">
        <v>1013</v>
      </c>
      <c r="O418" t="s">
        <v>510</v>
      </c>
      <c r="P418" t="s">
        <v>510</v>
      </c>
      <c r="Q418">
        <v>1</v>
      </c>
      <c r="W418">
        <v>0</v>
      </c>
      <c r="X418">
        <v>920778480</v>
      </c>
      <c r="Y418">
        <v>8.9930000000000003</v>
      </c>
      <c r="AA418">
        <v>0</v>
      </c>
      <c r="AB418">
        <v>0</v>
      </c>
      <c r="AC418">
        <v>0</v>
      </c>
      <c r="AD418">
        <v>7.63</v>
      </c>
      <c r="AE418">
        <v>0</v>
      </c>
      <c r="AF418">
        <v>0</v>
      </c>
      <c r="AG418">
        <v>0</v>
      </c>
      <c r="AH418">
        <v>7.63</v>
      </c>
      <c r="AI418">
        <v>1</v>
      </c>
      <c r="AJ418">
        <v>1</v>
      </c>
      <c r="AK418">
        <v>1</v>
      </c>
      <c r="AL418">
        <v>1</v>
      </c>
      <c r="AN418">
        <v>0</v>
      </c>
      <c r="AO418">
        <v>1</v>
      </c>
      <c r="AP418">
        <v>1</v>
      </c>
      <c r="AQ418">
        <v>0</v>
      </c>
      <c r="AR418">
        <v>0</v>
      </c>
      <c r="AS418" t="s">
        <v>3</v>
      </c>
      <c r="AT418">
        <v>7.82</v>
      </c>
      <c r="AU418" t="s">
        <v>161</v>
      </c>
      <c r="AV418">
        <v>1</v>
      </c>
      <c r="AW418">
        <v>2</v>
      </c>
      <c r="AX418">
        <v>48372993</v>
      </c>
      <c r="AY418">
        <v>1</v>
      </c>
      <c r="AZ418">
        <v>0</v>
      </c>
      <c r="BA418">
        <v>420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CX418">
        <f>Y418*Source!I177</f>
        <v>1.312978</v>
      </c>
      <c r="CY418">
        <f>AD418</f>
        <v>7.63</v>
      </c>
      <c r="CZ418">
        <f>AH418</f>
        <v>7.63</v>
      </c>
      <c r="DA418">
        <f>AL418</f>
        <v>1</v>
      </c>
      <c r="DB418">
        <v>0</v>
      </c>
    </row>
    <row r="419" spans="1:106">
      <c r="A419">
        <f>ROW(Source!A177)</f>
        <v>177</v>
      </c>
      <c r="B419">
        <v>48370320</v>
      </c>
      <c r="C419">
        <v>48372992</v>
      </c>
      <c r="D419">
        <v>37804456</v>
      </c>
      <c r="E419">
        <v>1</v>
      </c>
      <c r="F419">
        <v>1</v>
      </c>
      <c r="G419">
        <v>1</v>
      </c>
      <c r="H419">
        <v>2</v>
      </c>
      <c r="I419" t="s">
        <v>530</v>
      </c>
      <c r="J419" t="s">
        <v>531</v>
      </c>
      <c r="K419" t="s">
        <v>532</v>
      </c>
      <c r="L419">
        <v>1368</v>
      </c>
      <c r="N419">
        <v>1011</v>
      </c>
      <c r="O419" t="s">
        <v>516</v>
      </c>
      <c r="P419" t="s">
        <v>516</v>
      </c>
      <c r="Q419">
        <v>1</v>
      </c>
      <c r="W419">
        <v>0</v>
      </c>
      <c r="X419">
        <v>-671646184</v>
      </c>
      <c r="Y419">
        <v>0.05</v>
      </c>
      <c r="AA419">
        <v>0</v>
      </c>
      <c r="AB419">
        <v>844.19</v>
      </c>
      <c r="AC419">
        <v>216.11</v>
      </c>
      <c r="AD419">
        <v>0</v>
      </c>
      <c r="AE419">
        <v>0</v>
      </c>
      <c r="AF419">
        <v>91.76</v>
      </c>
      <c r="AG419">
        <v>10.35</v>
      </c>
      <c r="AH419">
        <v>0</v>
      </c>
      <c r="AI419">
        <v>1</v>
      </c>
      <c r="AJ419">
        <v>9.1999999999999993</v>
      </c>
      <c r="AK419">
        <v>20.88</v>
      </c>
      <c r="AL419">
        <v>1</v>
      </c>
      <c r="AN419">
        <v>0</v>
      </c>
      <c r="AO419">
        <v>1</v>
      </c>
      <c r="AP419">
        <v>1</v>
      </c>
      <c r="AQ419">
        <v>0</v>
      </c>
      <c r="AR419">
        <v>0</v>
      </c>
      <c r="AS419" t="s">
        <v>3</v>
      </c>
      <c r="AT419">
        <v>0.04</v>
      </c>
      <c r="AU419" t="s">
        <v>160</v>
      </c>
      <c r="AV419">
        <v>0</v>
      </c>
      <c r="AW419">
        <v>2</v>
      </c>
      <c r="AX419">
        <v>48372994</v>
      </c>
      <c r="AY419">
        <v>1</v>
      </c>
      <c r="AZ419">
        <v>0</v>
      </c>
      <c r="BA419">
        <v>421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CX419">
        <f>Y419*Source!I177</f>
        <v>7.3000000000000001E-3</v>
      </c>
      <c r="CY419">
        <f>AB419</f>
        <v>844.19</v>
      </c>
      <c r="CZ419">
        <f>AF419</f>
        <v>91.76</v>
      </c>
      <c r="DA419">
        <f>AJ419</f>
        <v>9.1999999999999993</v>
      </c>
      <c r="DB419">
        <v>0</v>
      </c>
    </row>
    <row r="420" spans="1:106">
      <c r="A420">
        <f>ROW(Source!A177)</f>
        <v>177</v>
      </c>
      <c r="B420">
        <v>48370320</v>
      </c>
      <c r="C420">
        <v>48372992</v>
      </c>
      <c r="D420">
        <v>37736933</v>
      </c>
      <c r="E420">
        <v>1</v>
      </c>
      <c r="F420">
        <v>1</v>
      </c>
      <c r="G420">
        <v>1</v>
      </c>
      <c r="H420">
        <v>3</v>
      </c>
      <c r="I420" t="s">
        <v>783</v>
      </c>
      <c r="J420" t="s">
        <v>784</v>
      </c>
      <c r="K420" t="s">
        <v>785</v>
      </c>
      <c r="L420">
        <v>1348</v>
      </c>
      <c r="N420">
        <v>1009</v>
      </c>
      <c r="O420" t="s">
        <v>536</v>
      </c>
      <c r="P420" t="s">
        <v>536</v>
      </c>
      <c r="Q420">
        <v>1000</v>
      </c>
      <c r="W420">
        <v>0</v>
      </c>
      <c r="X420">
        <v>-667930777</v>
      </c>
      <c r="Y420">
        <v>7.1000000000000002E-4</v>
      </c>
      <c r="AA420">
        <v>51873.36</v>
      </c>
      <c r="AB420">
        <v>0</v>
      </c>
      <c r="AC420">
        <v>0</v>
      </c>
      <c r="AD420">
        <v>0</v>
      </c>
      <c r="AE420">
        <v>12936</v>
      </c>
      <c r="AF420">
        <v>0</v>
      </c>
      <c r="AG420">
        <v>0</v>
      </c>
      <c r="AH420">
        <v>0</v>
      </c>
      <c r="AI420">
        <v>4.01</v>
      </c>
      <c r="AJ420">
        <v>1</v>
      </c>
      <c r="AK420">
        <v>1</v>
      </c>
      <c r="AL420">
        <v>1</v>
      </c>
      <c r="AN420">
        <v>0</v>
      </c>
      <c r="AO420">
        <v>1</v>
      </c>
      <c r="AP420">
        <v>0</v>
      </c>
      <c r="AQ420">
        <v>0</v>
      </c>
      <c r="AR420">
        <v>0</v>
      </c>
      <c r="AS420" t="s">
        <v>3</v>
      </c>
      <c r="AT420">
        <v>7.1000000000000002E-4</v>
      </c>
      <c r="AU420" t="s">
        <v>3</v>
      </c>
      <c r="AV420">
        <v>0</v>
      </c>
      <c r="AW420">
        <v>2</v>
      </c>
      <c r="AX420">
        <v>48372995</v>
      </c>
      <c r="AY420">
        <v>1</v>
      </c>
      <c r="AZ420">
        <v>0</v>
      </c>
      <c r="BA420">
        <v>422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CX420">
        <f>Y420*Source!I177</f>
        <v>1.0365999999999999E-4</v>
      </c>
      <c r="CY420">
        <f>AA420</f>
        <v>51873.36</v>
      </c>
      <c r="CZ420">
        <f>AE420</f>
        <v>12936</v>
      </c>
      <c r="DA420">
        <f>AI420</f>
        <v>4.01</v>
      </c>
      <c r="DB420">
        <v>0</v>
      </c>
    </row>
    <row r="421" spans="1:106">
      <c r="A421">
        <f>ROW(Source!A177)</f>
        <v>177</v>
      </c>
      <c r="B421">
        <v>48370320</v>
      </c>
      <c r="C421">
        <v>48372992</v>
      </c>
      <c r="D421">
        <v>37752953</v>
      </c>
      <c r="E421">
        <v>1</v>
      </c>
      <c r="F421">
        <v>1</v>
      </c>
      <c r="G421">
        <v>1</v>
      </c>
      <c r="H421">
        <v>3</v>
      </c>
      <c r="I421" t="s">
        <v>801</v>
      </c>
      <c r="J421" t="s">
        <v>802</v>
      </c>
      <c r="K421" t="s">
        <v>803</v>
      </c>
      <c r="L421">
        <v>1301</v>
      </c>
      <c r="N421">
        <v>1003</v>
      </c>
      <c r="O421" t="s">
        <v>208</v>
      </c>
      <c r="P421" t="s">
        <v>208</v>
      </c>
      <c r="Q421">
        <v>1</v>
      </c>
      <c r="W421">
        <v>0</v>
      </c>
      <c r="X421">
        <v>-1952606436</v>
      </c>
      <c r="Y421">
        <v>112</v>
      </c>
      <c r="AA421">
        <v>49.3</v>
      </c>
      <c r="AB421">
        <v>0</v>
      </c>
      <c r="AC421">
        <v>0</v>
      </c>
      <c r="AD421">
        <v>0</v>
      </c>
      <c r="AE421">
        <v>3.96</v>
      </c>
      <c r="AF421">
        <v>0</v>
      </c>
      <c r="AG421">
        <v>0</v>
      </c>
      <c r="AH421">
        <v>0</v>
      </c>
      <c r="AI421">
        <v>12.45</v>
      </c>
      <c r="AJ421">
        <v>1</v>
      </c>
      <c r="AK421">
        <v>1</v>
      </c>
      <c r="AL421">
        <v>1</v>
      </c>
      <c r="AN421">
        <v>0</v>
      </c>
      <c r="AO421">
        <v>1</v>
      </c>
      <c r="AP421">
        <v>0</v>
      </c>
      <c r="AQ421">
        <v>0</v>
      </c>
      <c r="AR421">
        <v>0</v>
      </c>
      <c r="AS421" t="s">
        <v>3</v>
      </c>
      <c r="AT421">
        <v>112</v>
      </c>
      <c r="AU421" t="s">
        <v>3</v>
      </c>
      <c r="AV421">
        <v>0</v>
      </c>
      <c r="AW421">
        <v>2</v>
      </c>
      <c r="AX421">
        <v>48372996</v>
      </c>
      <c r="AY421">
        <v>1</v>
      </c>
      <c r="AZ421">
        <v>0</v>
      </c>
      <c r="BA421">
        <v>423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CX421">
        <f>Y421*Source!I177</f>
        <v>16.352</v>
      </c>
      <c r="CY421">
        <f>AA421</f>
        <v>49.3</v>
      </c>
      <c r="CZ421">
        <f>AE421</f>
        <v>3.96</v>
      </c>
      <c r="DA421">
        <f>AI421</f>
        <v>12.45</v>
      </c>
      <c r="DB421">
        <v>0</v>
      </c>
    </row>
    <row r="422" spans="1:106">
      <c r="A422">
        <f>ROW(Source!A178)</f>
        <v>178</v>
      </c>
      <c r="B422">
        <v>48370320</v>
      </c>
      <c r="C422">
        <v>48373047</v>
      </c>
      <c r="D422">
        <v>23136905</v>
      </c>
      <c r="E422">
        <v>1</v>
      </c>
      <c r="F422">
        <v>1</v>
      </c>
      <c r="G422">
        <v>1</v>
      </c>
      <c r="H422">
        <v>1</v>
      </c>
      <c r="I422" t="s">
        <v>648</v>
      </c>
      <c r="J422" t="s">
        <v>3</v>
      </c>
      <c r="K422" t="s">
        <v>649</v>
      </c>
      <c r="L422">
        <v>1369</v>
      </c>
      <c r="N422">
        <v>1013</v>
      </c>
      <c r="O422" t="s">
        <v>510</v>
      </c>
      <c r="P422" t="s">
        <v>510</v>
      </c>
      <c r="Q422">
        <v>1</v>
      </c>
      <c r="W422">
        <v>0</v>
      </c>
      <c r="X422">
        <v>1351218007</v>
      </c>
      <c r="Y422">
        <v>191.44049999999999</v>
      </c>
      <c r="AA422">
        <v>0</v>
      </c>
      <c r="AB422">
        <v>0</v>
      </c>
      <c r="AC422">
        <v>0</v>
      </c>
      <c r="AD422">
        <v>8.58</v>
      </c>
      <c r="AE422">
        <v>0</v>
      </c>
      <c r="AF422">
        <v>0</v>
      </c>
      <c r="AG422">
        <v>0</v>
      </c>
      <c r="AH422">
        <v>8.58</v>
      </c>
      <c r="AI422">
        <v>1</v>
      </c>
      <c r="AJ422">
        <v>1</v>
      </c>
      <c r="AK422">
        <v>1</v>
      </c>
      <c r="AL422">
        <v>1</v>
      </c>
      <c r="AN422">
        <v>0</v>
      </c>
      <c r="AO422">
        <v>1</v>
      </c>
      <c r="AP422">
        <v>1</v>
      </c>
      <c r="AQ422">
        <v>0</v>
      </c>
      <c r="AR422">
        <v>0</v>
      </c>
      <c r="AS422" t="s">
        <v>3</v>
      </c>
      <c r="AT422">
        <v>166.47</v>
      </c>
      <c r="AU422" t="s">
        <v>161</v>
      </c>
      <c r="AV422">
        <v>1</v>
      </c>
      <c r="AW422">
        <v>2</v>
      </c>
      <c r="AX422">
        <v>48373057</v>
      </c>
      <c r="AY422">
        <v>1</v>
      </c>
      <c r="AZ422">
        <v>0</v>
      </c>
      <c r="BA422">
        <v>424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CX422">
        <f>Y422*Source!I178</f>
        <v>0.95720249999999996</v>
      </c>
      <c r="CY422">
        <f>AD422</f>
        <v>8.58</v>
      </c>
      <c r="CZ422">
        <f>AH422</f>
        <v>8.58</v>
      </c>
      <c r="DA422">
        <f>AL422</f>
        <v>1</v>
      </c>
      <c r="DB422">
        <v>0</v>
      </c>
    </row>
    <row r="423" spans="1:106">
      <c r="A423">
        <f>ROW(Source!A178)</f>
        <v>178</v>
      </c>
      <c r="B423">
        <v>48370320</v>
      </c>
      <c r="C423">
        <v>48373047</v>
      </c>
      <c r="D423">
        <v>121548</v>
      </c>
      <c r="E423">
        <v>1</v>
      </c>
      <c r="F423">
        <v>1</v>
      </c>
      <c r="G423">
        <v>1</v>
      </c>
      <c r="H423">
        <v>1</v>
      </c>
      <c r="I423" t="s">
        <v>24</v>
      </c>
      <c r="J423" t="s">
        <v>3</v>
      </c>
      <c r="K423" t="s">
        <v>511</v>
      </c>
      <c r="L423">
        <v>608254</v>
      </c>
      <c r="N423">
        <v>1013</v>
      </c>
      <c r="O423" t="s">
        <v>512</v>
      </c>
      <c r="P423" t="s">
        <v>512</v>
      </c>
      <c r="Q423">
        <v>1</v>
      </c>
      <c r="W423">
        <v>0</v>
      </c>
      <c r="X423">
        <v>-185737400</v>
      </c>
      <c r="Y423">
        <v>0.1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1</v>
      </c>
      <c r="AJ423">
        <v>1</v>
      </c>
      <c r="AK423">
        <v>1</v>
      </c>
      <c r="AL423">
        <v>1</v>
      </c>
      <c r="AN423">
        <v>0</v>
      </c>
      <c r="AO423">
        <v>1</v>
      </c>
      <c r="AP423">
        <v>1</v>
      </c>
      <c r="AQ423">
        <v>0</v>
      </c>
      <c r="AR423">
        <v>0</v>
      </c>
      <c r="AS423" t="s">
        <v>3</v>
      </c>
      <c r="AT423">
        <v>0.08</v>
      </c>
      <c r="AU423" t="s">
        <v>160</v>
      </c>
      <c r="AV423">
        <v>2</v>
      </c>
      <c r="AW423">
        <v>2</v>
      </c>
      <c r="AX423">
        <v>48373058</v>
      </c>
      <c r="AY423">
        <v>1</v>
      </c>
      <c r="AZ423">
        <v>0</v>
      </c>
      <c r="BA423">
        <v>425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CX423">
        <f>Y423*Source!I178</f>
        <v>5.0000000000000001E-4</v>
      </c>
      <c r="CY423">
        <f>AD423</f>
        <v>0</v>
      </c>
      <c r="CZ423">
        <f>AH423</f>
        <v>0</v>
      </c>
      <c r="DA423">
        <f>AL423</f>
        <v>1</v>
      </c>
      <c r="DB423">
        <v>0</v>
      </c>
    </row>
    <row r="424" spans="1:106">
      <c r="A424">
        <f>ROW(Source!A178)</f>
        <v>178</v>
      </c>
      <c r="B424">
        <v>48370320</v>
      </c>
      <c r="C424">
        <v>48373047</v>
      </c>
      <c r="D424">
        <v>37802578</v>
      </c>
      <c r="E424">
        <v>1</v>
      </c>
      <c r="F424">
        <v>1</v>
      </c>
      <c r="G424">
        <v>1</v>
      </c>
      <c r="H424">
        <v>2</v>
      </c>
      <c r="I424" t="s">
        <v>550</v>
      </c>
      <c r="J424" t="s">
        <v>551</v>
      </c>
      <c r="K424" t="s">
        <v>552</v>
      </c>
      <c r="L424">
        <v>1368</v>
      </c>
      <c r="N424">
        <v>1011</v>
      </c>
      <c r="O424" t="s">
        <v>516</v>
      </c>
      <c r="P424" t="s">
        <v>516</v>
      </c>
      <c r="Q424">
        <v>1</v>
      </c>
      <c r="W424">
        <v>0</v>
      </c>
      <c r="X424">
        <v>1753337916</v>
      </c>
      <c r="Y424">
        <v>0.1</v>
      </c>
      <c r="AA424">
        <v>0</v>
      </c>
      <c r="AB424">
        <v>327.64</v>
      </c>
      <c r="AC424">
        <v>252.65</v>
      </c>
      <c r="AD424">
        <v>0</v>
      </c>
      <c r="AE424">
        <v>0</v>
      </c>
      <c r="AF424">
        <v>32.090000000000003</v>
      </c>
      <c r="AG424">
        <v>12.1</v>
      </c>
      <c r="AH424">
        <v>0</v>
      </c>
      <c r="AI424">
        <v>1</v>
      </c>
      <c r="AJ424">
        <v>10.210000000000001</v>
      </c>
      <c r="AK424">
        <v>20.88</v>
      </c>
      <c r="AL424">
        <v>1</v>
      </c>
      <c r="AN424">
        <v>0</v>
      </c>
      <c r="AO424">
        <v>1</v>
      </c>
      <c r="AP424">
        <v>1</v>
      </c>
      <c r="AQ424">
        <v>0</v>
      </c>
      <c r="AR424">
        <v>0</v>
      </c>
      <c r="AS424" t="s">
        <v>3</v>
      </c>
      <c r="AT424">
        <v>0.08</v>
      </c>
      <c r="AU424" t="s">
        <v>160</v>
      </c>
      <c r="AV424">
        <v>0</v>
      </c>
      <c r="AW424">
        <v>2</v>
      </c>
      <c r="AX424">
        <v>48373059</v>
      </c>
      <c r="AY424">
        <v>1</v>
      </c>
      <c r="AZ424">
        <v>0</v>
      </c>
      <c r="BA424">
        <v>426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CX424">
        <f>Y424*Source!I178</f>
        <v>5.0000000000000001E-4</v>
      </c>
      <c r="CY424">
        <f>AB424</f>
        <v>327.64</v>
      </c>
      <c r="CZ424">
        <f>AF424</f>
        <v>32.090000000000003</v>
      </c>
      <c r="DA424">
        <f>AJ424</f>
        <v>10.210000000000001</v>
      </c>
      <c r="DB424">
        <v>0</v>
      </c>
    </row>
    <row r="425" spans="1:106">
      <c r="A425">
        <f>ROW(Source!A178)</f>
        <v>178</v>
      </c>
      <c r="B425">
        <v>48370320</v>
      </c>
      <c r="C425">
        <v>48373047</v>
      </c>
      <c r="D425">
        <v>37804145</v>
      </c>
      <c r="E425">
        <v>1</v>
      </c>
      <c r="F425">
        <v>1</v>
      </c>
      <c r="G425">
        <v>1</v>
      </c>
      <c r="H425">
        <v>2</v>
      </c>
      <c r="I425" t="s">
        <v>925</v>
      </c>
      <c r="J425" t="s">
        <v>926</v>
      </c>
      <c r="K425" t="s">
        <v>927</v>
      </c>
      <c r="L425">
        <v>1368</v>
      </c>
      <c r="N425">
        <v>1011</v>
      </c>
      <c r="O425" t="s">
        <v>516</v>
      </c>
      <c r="P425" t="s">
        <v>516</v>
      </c>
      <c r="Q425">
        <v>1</v>
      </c>
      <c r="W425">
        <v>0</v>
      </c>
      <c r="X425">
        <v>-250660111</v>
      </c>
      <c r="Y425">
        <v>0.32500000000000001</v>
      </c>
      <c r="AA425">
        <v>0</v>
      </c>
      <c r="AB425">
        <v>5.16</v>
      </c>
      <c r="AC425">
        <v>0</v>
      </c>
      <c r="AD425">
        <v>0</v>
      </c>
      <c r="AE425">
        <v>0</v>
      </c>
      <c r="AF425">
        <v>0.96</v>
      </c>
      <c r="AG425">
        <v>0</v>
      </c>
      <c r="AH425">
        <v>0</v>
      </c>
      <c r="AI425">
        <v>1</v>
      </c>
      <c r="AJ425">
        <v>5.38</v>
      </c>
      <c r="AK425">
        <v>20.88</v>
      </c>
      <c r="AL425">
        <v>1</v>
      </c>
      <c r="AN425">
        <v>0</v>
      </c>
      <c r="AO425">
        <v>1</v>
      </c>
      <c r="AP425">
        <v>1</v>
      </c>
      <c r="AQ425">
        <v>0</v>
      </c>
      <c r="AR425">
        <v>0</v>
      </c>
      <c r="AS425" t="s">
        <v>3</v>
      </c>
      <c r="AT425">
        <v>0.26</v>
      </c>
      <c r="AU425" t="s">
        <v>160</v>
      </c>
      <c r="AV425">
        <v>0</v>
      </c>
      <c r="AW425">
        <v>2</v>
      </c>
      <c r="AX425">
        <v>48373060</v>
      </c>
      <c r="AY425">
        <v>1</v>
      </c>
      <c r="AZ425">
        <v>0</v>
      </c>
      <c r="BA425">
        <v>427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CX425">
        <f>Y425*Source!I178</f>
        <v>1.6250000000000001E-3</v>
      </c>
      <c r="CY425">
        <f>AB425</f>
        <v>5.16</v>
      </c>
      <c r="CZ425">
        <f>AF425</f>
        <v>0.96</v>
      </c>
      <c r="DA425">
        <f>AJ425</f>
        <v>5.38</v>
      </c>
      <c r="DB425">
        <v>0</v>
      </c>
    </row>
    <row r="426" spans="1:106">
      <c r="A426">
        <f>ROW(Source!A178)</f>
        <v>178</v>
      </c>
      <c r="B426">
        <v>48370320</v>
      </c>
      <c r="C426">
        <v>48373047</v>
      </c>
      <c r="D426">
        <v>37804456</v>
      </c>
      <c r="E426">
        <v>1</v>
      </c>
      <c r="F426">
        <v>1</v>
      </c>
      <c r="G426">
        <v>1</v>
      </c>
      <c r="H426">
        <v>2</v>
      </c>
      <c r="I426" t="s">
        <v>530</v>
      </c>
      <c r="J426" t="s">
        <v>531</v>
      </c>
      <c r="K426" t="s">
        <v>532</v>
      </c>
      <c r="L426">
        <v>1368</v>
      </c>
      <c r="N426">
        <v>1011</v>
      </c>
      <c r="O426" t="s">
        <v>516</v>
      </c>
      <c r="P426" t="s">
        <v>516</v>
      </c>
      <c r="Q426">
        <v>1</v>
      </c>
      <c r="W426">
        <v>0</v>
      </c>
      <c r="X426">
        <v>-671646184</v>
      </c>
      <c r="Y426">
        <v>0.625</v>
      </c>
      <c r="AA426">
        <v>0</v>
      </c>
      <c r="AB426">
        <v>844.19</v>
      </c>
      <c r="AC426">
        <v>216.11</v>
      </c>
      <c r="AD426">
        <v>0</v>
      </c>
      <c r="AE426">
        <v>0</v>
      </c>
      <c r="AF426">
        <v>91.76</v>
      </c>
      <c r="AG426">
        <v>10.35</v>
      </c>
      <c r="AH426">
        <v>0</v>
      </c>
      <c r="AI426">
        <v>1</v>
      </c>
      <c r="AJ426">
        <v>9.1999999999999993</v>
      </c>
      <c r="AK426">
        <v>20.88</v>
      </c>
      <c r="AL426">
        <v>1</v>
      </c>
      <c r="AN426">
        <v>0</v>
      </c>
      <c r="AO426">
        <v>1</v>
      </c>
      <c r="AP426">
        <v>1</v>
      </c>
      <c r="AQ426">
        <v>0</v>
      </c>
      <c r="AR426">
        <v>0</v>
      </c>
      <c r="AS426" t="s">
        <v>3</v>
      </c>
      <c r="AT426">
        <v>0.5</v>
      </c>
      <c r="AU426" t="s">
        <v>160</v>
      </c>
      <c r="AV426">
        <v>0</v>
      </c>
      <c r="AW426">
        <v>2</v>
      </c>
      <c r="AX426">
        <v>48373061</v>
      </c>
      <c r="AY426">
        <v>1</v>
      </c>
      <c r="AZ426">
        <v>0</v>
      </c>
      <c r="BA426">
        <v>428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CX426">
        <f>Y426*Source!I178</f>
        <v>3.1250000000000002E-3</v>
      </c>
      <c r="CY426">
        <f>AB426</f>
        <v>844.19</v>
      </c>
      <c r="CZ426">
        <f>AF426</f>
        <v>91.76</v>
      </c>
      <c r="DA426">
        <f>AJ426</f>
        <v>9.1999999999999993</v>
      </c>
      <c r="DB426">
        <v>0</v>
      </c>
    </row>
    <row r="427" spans="1:106">
      <c r="A427">
        <f>ROW(Source!A178)</f>
        <v>178</v>
      </c>
      <c r="B427">
        <v>48370320</v>
      </c>
      <c r="C427">
        <v>48373047</v>
      </c>
      <c r="D427">
        <v>37729991</v>
      </c>
      <c r="E427">
        <v>1</v>
      </c>
      <c r="F427">
        <v>1</v>
      </c>
      <c r="G427">
        <v>1</v>
      </c>
      <c r="H427">
        <v>3</v>
      </c>
      <c r="I427" t="s">
        <v>625</v>
      </c>
      <c r="J427" t="s">
        <v>626</v>
      </c>
      <c r="K427" t="s">
        <v>627</v>
      </c>
      <c r="L427">
        <v>1346</v>
      </c>
      <c r="N427">
        <v>1009</v>
      </c>
      <c r="O427" t="s">
        <v>172</v>
      </c>
      <c r="P427" t="s">
        <v>172</v>
      </c>
      <c r="Q427">
        <v>1</v>
      </c>
      <c r="W427">
        <v>0</v>
      </c>
      <c r="X427">
        <v>844235703</v>
      </c>
      <c r="Y427">
        <v>0.2</v>
      </c>
      <c r="AA427">
        <v>26.15</v>
      </c>
      <c r="AB427">
        <v>0</v>
      </c>
      <c r="AC427">
        <v>0</v>
      </c>
      <c r="AD427">
        <v>0</v>
      </c>
      <c r="AE427">
        <v>1.82</v>
      </c>
      <c r="AF427">
        <v>0</v>
      </c>
      <c r="AG427">
        <v>0</v>
      </c>
      <c r="AH427">
        <v>0</v>
      </c>
      <c r="AI427">
        <v>14.37</v>
      </c>
      <c r="AJ427">
        <v>1</v>
      </c>
      <c r="AK427">
        <v>1</v>
      </c>
      <c r="AL427">
        <v>1</v>
      </c>
      <c r="AN427">
        <v>0</v>
      </c>
      <c r="AO427">
        <v>1</v>
      </c>
      <c r="AP427">
        <v>0</v>
      </c>
      <c r="AQ427">
        <v>0</v>
      </c>
      <c r="AR427">
        <v>0</v>
      </c>
      <c r="AS427" t="s">
        <v>3</v>
      </c>
      <c r="AT427">
        <v>0.2</v>
      </c>
      <c r="AU427" t="s">
        <v>3</v>
      </c>
      <c r="AV427">
        <v>0</v>
      </c>
      <c r="AW427">
        <v>2</v>
      </c>
      <c r="AX427">
        <v>48373062</v>
      </c>
      <c r="AY427">
        <v>1</v>
      </c>
      <c r="AZ427">
        <v>0</v>
      </c>
      <c r="BA427">
        <v>429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CX427">
        <f>Y427*Source!I178</f>
        <v>1E-3</v>
      </c>
      <c r="CY427">
        <f>AA427</f>
        <v>26.15</v>
      </c>
      <c r="CZ427">
        <f>AE427</f>
        <v>1.82</v>
      </c>
      <c r="DA427">
        <f>AI427</f>
        <v>14.37</v>
      </c>
      <c r="DB427">
        <v>0</v>
      </c>
    </row>
    <row r="428" spans="1:106">
      <c r="A428">
        <f>ROW(Source!A178)</f>
        <v>178</v>
      </c>
      <c r="B428">
        <v>48370320</v>
      </c>
      <c r="C428">
        <v>48373047</v>
      </c>
      <c r="D428">
        <v>37731832</v>
      </c>
      <c r="E428">
        <v>1</v>
      </c>
      <c r="F428">
        <v>1</v>
      </c>
      <c r="G428">
        <v>1</v>
      </c>
      <c r="H428">
        <v>3</v>
      </c>
      <c r="I428" t="s">
        <v>400</v>
      </c>
      <c r="J428" t="s">
        <v>403</v>
      </c>
      <c r="K428" t="s">
        <v>401</v>
      </c>
      <c r="L428">
        <v>1329</v>
      </c>
      <c r="N428">
        <v>1005</v>
      </c>
      <c r="O428" t="s">
        <v>402</v>
      </c>
      <c r="P428" t="s">
        <v>402</v>
      </c>
      <c r="Q428">
        <v>1000</v>
      </c>
      <c r="W428">
        <v>1</v>
      </c>
      <c r="X428">
        <v>1453452198</v>
      </c>
      <c r="Y428">
        <v>-0.105</v>
      </c>
      <c r="AA428">
        <v>194452.88</v>
      </c>
      <c r="AB428">
        <v>0</v>
      </c>
      <c r="AC428">
        <v>0</v>
      </c>
      <c r="AD428">
        <v>0</v>
      </c>
      <c r="AE428">
        <v>113054</v>
      </c>
      <c r="AF428">
        <v>0</v>
      </c>
      <c r="AG428">
        <v>0</v>
      </c>
      <c r="AH428">
        <v>0</v>
      </c>
      <c r="AI428">
        <v>1.72</v>
      </c>
      <c r="AJ428">
        <v>1</v>
      </c>
      <c r="AK428">
        <v>1</v>
      </c>
      <c r="AL428">
        <v>1</v>
      </c>
      <c r="AN428">
        <v>0</v>
      </c>
      <c r="AO428">
        <v>1</v>
      </c>
      <c r="AP428">
        <v>0</v>
      </c>
      <c r="AQ428">
        <v>0</v>
      </c>
      <c r="AR428">
        <v>0</v>
      </c>
      <c r="AS428" t="s">
        <v>3</v>
      </c>
      <c r="AT428">
        <v>-0.105</v>
      </c>
      <c r="AU428" t="s">
        <v>3</v>
      </c>
      <c r="AV428">
        <v>0</v>
      </c>
      <c r="AW428">
        <v>2</v>
      </c>
      <c r="AX428">
        <v>48373063</v>
      </c>
      <c r="AY428">
        <v>1</v>
      </c>
      <c r="AZ428">
        <v>6144</v>
      </c>
      <c r="BA428">
        <v>430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CX428">
        <f>Y428*Source!I178</f>
        <v>-5.2499999999999997E-4</v>
      </c>
      <c r="CY428">
        <f>AA428</f>
        <v>194452.88</v>
      </c>
      <c r="CZ428">
        <f>AE428</f>
        <v>113054</v>
      </c>
      <c r="DA428">
        <f>AI428</f>
        <v>1.72</v>
      </c>
      <c r="DB428">
        <v>0</v>
      </c>
    </row>
    <row r="429" spans="1:106">
      <c r="A429">
        <f>ROW(Source!A178)</f>
        <v>178</v>
      </c>
      <c r="B429">
        <v>48370320</v>
      </c>
      <c r="C429">
        <v>48373047</v>
      </c>
      <c r="D429">
        <v>37731585</v>
      </c>
      <c r="E429">
        <v>1</v>
      </c>
      <c r="F429">
        <v>1</v>
      </c>
      <c r="G429">
        <v>1</v>
      </c>
      <c r="H429">
        <v>3</v>
      </c>
      <c r="I429" t="s">
        <v>928</v>
      </c>
      <c r="J429" t="s">
        <v>929</v>
      </c>
      <c r="K429" t="s">
        <v>930</v>
      </c>
      <c r="L429">
        <v>1346</v>
      </c>
      <c r="N429">
        <v>1009</v>
      </c>
      <c r="O429" t="s">
        <v>172</v>
      </c>
      <c r="P429" t="s">
        <v>172</v>
      </c>
      <c r="Q429">
        <v>1</v>
      </c>
      <c r="W429">
        <v>0</v>
      </c>
      <c r="X429">
        <v>1699861347</v>
      </c>
      <c r="Y429">
        <v>30</v>
      </c>
      <c r="AA429">
        <v>55.68</v>
      </c>
      <c r="AB429">
        <v>0</v>
      </c>
      <c r="AC429">
        <v>0</v>
      </c>
      <c r="AD429">
        <v>0</v>
      </c>
      <c r="AE429">
        <v>16.14</v>
      </c>
      <c r="AF429">
        <v>0</v>
      </c>
      <c r="AG429">
        <v>0</v>
      </c>
      <c r="AH429">
        <v>0</v>
      </c>
      <c r="AI429">
        <v>3.45</v>
      </c>
      <c r="AJ429">
        <v>1</v>
      </c>
      <c r="AK429">
        <v>1</v>
      </c>
      <c r="AL429">
        <v>1</v>
      </c>
      <c r="AN429">
        <v>0</v>
      </c>
      <c r="AO429">
        <v>1</v>
      </c>
      <c r="AP429">
        <v>0</v>
      </c>
      <c r="AQ429">
        <v>0</v>
      </c>
      <c r="AR429">
        <v>0</v>
      </c>
      <c r="AS429" t="s">
        <v>3</v>
      </c>
      <c r="AT429">
        <v>30</v>
      </c>
      <c r="AU429" t="s">
        <v>3</v>
      </c>
      <c r="AV429">
        <v>0</v>
      </c>
      <c r="AW429">
        <v>2</v>
      </c>
      <c r="AX429">
        <v>48373064</v>
      </c>
      <c r="AY429">
        <v>1</v>
      </c>
      <c r="AZ429">
        <v>0</v>
      </c>
      <c r="BA429">
        <v>431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CX429">
        <f>Y429*Source!I178</f>
        <v>0.15</v>
      </c>
      <c r="CY429">
        <f>AA429</f>
        <v>55.68</v>
      </c>
      <c r="CZ429">
        <f>AE429</f>
        <v>16.14</v>
      </c>
      <c r="DA429">
        <f>AI429</f>
        <v>3.45</v>
      </c>
      <c r="DB429">
        <v>0</v>
      </c>
    </row>
    <row r="430" spans="1:106">
      <c r="A430">
        <f>ROW(Source!A178)</f>
        <v>178</v>
      </c>
      <c r="B430">
        <v>48370320</v>
      </c>
      <c r="C430">
        <v>48373047</v>
      </c>
      <c r="D430">
        <v>37731525</v>
      </c>
      <c r="E430">
        <v>1</v>
      </c>
      <c r="F430">
        <v>1</v>
      </c>
      <c r="G430">
        <v>1</v>
      </c>
      <c r="H430">
        <v>3</v>
      </c>
      <c r="I430" t="s">
        <v>931</v>
      </c>
      <c r="J430" t="s">
        <v>932</v>
      </c>
      <c r="K430" t="s">
        <v>933</v>
      </c>
      <c r="L430">
        <v>1348</v>
      </c>
      <c r="N430">
        <v>1009</v>
      </c>
      <c r="O430" t="s">
        <v>536</v>
      </c>
      <c r="P430" t="s">
        <v>536</v>
      </c>
      <c r="Q430">
        <v>1000</v>
      </c>
      <c r="W430">
        <v>0</v>
      </c>
      <c r="X430">
        <v>592267411</v>
      </c>
      <c r="Y430">
        <v>8.8999999999999999E-3</v>
      </c>
      <c r="AA430">
        <v>26878.37</v>
      </c>
      <c r="AB430">
        <v>0</v>
      </c>
      <c r="AC430">
        <v>0</v>
      </c>
      <c r="AD430">
        <v>0</v>
      </c>
      <c r="AE430">
        <v>6081.08</v>
      </c>
      <c r="AF430">
        <v>0</v>
      </c>
      <c r="AG430">
        <v>0</v>
      </c>
      <c r="AH430">
        <v>0</v>
      </c>
      <c r="AI430">
        <v>4.42</v>
      </c>
      <c r="AJ430">
        <v>1</v>
      </c>
      <c r="AK430">
        <v>1</v>
      </c>
      <c r="AL430">
        <v>1</v>
      </c>
      <c r="AN430">
        <v>0</v>
      </c>
      <c r="AO430">
        <v>1</v>
      </c>
      <c r="AP430">
        <v>0</v>
      </c>
      <c r="AQ430">
        <v>0</v>
      </c>
      <c r="AR430">
        <v>0</v>
      </c>
      <c r="AS430" t="s">
        <v>3</v>
      </c>
      <c r="AT430">
        <v>8.8999999999999999E-3</v>
      </c>
      <c r="AU430" t="s">
        <v>3</v>
      </c>
      <c r="AV430">
        <v>0</v>
      </c>
      <c r="AW430">
        <v>2</v>
      </c>
      <c r="AX430">
        <v>48373065</v>
      </c>
      <c r="AY430">
        <v>1</v>
      </c>
      <c r="AZ430">
        <v>0</v>
      </c>
      <c r="BA430">
        <v>432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CX430">
        <f>Y430*Source!I178</f>
        <v>4.4499999999999997E-5</v>
      </c>
      <c r="CY430">
        <f>AA430</f>
        <v>26878.37</v>
      </c>
      <c r="CZ430">
        <f>AE430</f>
        <v>6081.08</v>
      </c>
      <c r="DA430">
        <f>AI430</f>
        <v>4.42</v>
      </c>
      <c r="DB430">
        <v>0</v>
      </c>
    </row>
    <row r="431" spans="1:106">
      <c r="A431">
        <f>ROW(Source!A181)</f>
        <v>181</v>
      </c>
      <c r="B431">
        <v>48370320</v>
      </c>
      <c r="C431">
        <v>48373013</v>
      </c>
      <c r="D431">
        <v>23136905</v>
      </c>
      <c r="E431">
        <v>1</v>
      </c>
      <c r="F431">
        <v>1</v>
      </c>
      <c r="G431">
        <v>1</v>
      </c>
      <c r="H431">
        <v>1</v>
      </c>
      <c r="I431" t="s">
        <v>648</v>
      </c>
      <c r="J431" t="s">
        <v>3</v>
      </c>
      <c r="K431" t="s">
        <v>649</v>
      </c>
      <c r="L431">
        <v>1369</v>
      </c>
      <c r="N431">
        <v>1013</v>
      </c>
      <c r="O431" t="s">
        <v>510</v>
      </c>
      <c r="P431" t="s">
        <v>510</v>
      </c>
      <c r="Q431">
        <v>1</v>
      </c>
      <c r="W431">
        <v>0</v>
      </c>
      <c r="X431">
        <v>1351218007</v>
      </c>
      <c r="Y431">
        <v>191.44049999999999</v>
      </c>
      <c r="AA431">
        <v>0</v>
      </c>
      <c r="AB431">
        <v>0</v>
      </c>
      <c r="AC431">
        <v>0</v>
      </c>
      <c r="AD431">
        <v>8.58</v>
      </c>
      <c r="AE431">
        <v>0</v>
      </c>
      <c r="AF431">
        <v>0</v>
      </c>
      <c r="AG431">
        <v>0</v>
      </c>
      <c r="AH431">
        <v>8.58</v>
      </c>
      <c r="AI431">
        <v>1</v>
      </c>
      <c r="AJ431">
        <v>1</v>
      </c>
      <c r="AK431">
        <v>1</v>
      </c>
      <c r="AL431">
        <v>1</v>
      </c>
      <c r="AN431">
        <v>0</v>
      </c>
      <c r="AO431">
        <v>1</v>
      </c>
      <c r="AP431">
        <v>1</v>
      </c>
      <c r="AQ431">
        <v>0</v>
      </c>
      <c r="AR431">
        <v>0</v>
      </c>
      <c r="AS431" t="s">
        <v>3</v>
      </c>
      <c r="AT431">
        <v>166.47</v>
      </c>
      <c r="AU431" t="s">
        <v>161</v>
      </c>
      <c r="AV431">
        <v>1</v>
      </c>
      <c r="AW431">
        <v>2</v>
      </c>
      <c r="AX431">
        <v>48373014</v>
      </c>
      <c r="AY431">
        <v>1</v>
      </c>
      <c r="AZ431">
        <v>0</v>
      </c>
      <c r="BA431">
        <v>433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CX431">
        <f>Y431*Source!I181</f>
        <v>5.9729435999999989</v>
      </c>
      <c r="CY431">
        <f>AD431</f>
        <v>8.58</v>
      </c>
      <c r="CZ431">
        <f>AH431</f>
        <v>8.58</v>
      </c>
      <c r="DA431">
        <f>AL431</f>
        <v>1</v>
      </c>
      <c r="DB431">
        <v>0</v>
      </c>
    </row>
    <row r="432" spans="1:106">
      <c r="A432">
        <f>ROW(Source!A181)</f>
        <v>181</v>
      </c>
      <c r="B432">
        <v>48370320</v>
      </c>
      <c r="C432">
        <v>48373013</v>
      </c>
      <c r="D432">
        <v>121548</v>
      </c>
      <c r="E432">
        <v>1</v>
      </c>
      <c r="F432">
        <v>1</v>
      </c>
      <c r="G432">
        <v>1</v>
      </c>
      <c r="H432">
        <v>1</v>
      </c>
      <c r="I432" t="s">
        <v>24</v>
      </c>
      <c r="J432" t="s">
        <v>3</v>
      </c>
      <c r="K432" t="s">
        <v>511</v>
      </c>
      <c r="L432">
        <v>608254</v>
      </c>
      <c r="N432">
        <v>1013</v>
      </c>
      <c r="O432" t="s">
        <v>512</v>
      </c>
      <c r="P432" t="s">
        <v>512</v>
      </c>
      <c r="Q432">
        <v>1</v>
      </c>
      <c r="W432">
        <v>0</v>
      </c>
      <c r="X432">
        <v>-185737400</v>
      </c>
      <c r="Y432">
        <v>0.1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1</v>
      </c>
      <c r="AJ432">
        <v>1</v>
      </c>
      <c r="AK432">
        <v>1</v>
      </c>
      <c r="AL432">
        <v>1</v>
      </c>
      <c r="AN432">
        <v>0</v>
      </c>
      <c r="AO432">
        <v>1</v>
      </c>
      <c r="AP432">
        <v>1</v>
      </c>
      <c r="AQ432">
        <v>0</v>
      </c>
      <c r="AR432">
        <v>0</v>
      </c>
      <c r="AS432" t="s">
        <v>3</v>
      </c>
      <c r="AT432">
        <v>0.08</v>
      </c>
      <c r="AU432" t="s">
        <v>160</v>
      </c>
      <c r="AV432">
        <v>2</v>
      </c>
      <c r="AW432">
        <v>2</v>
      </c>
      <c r="AX432">
        <v>48373015</v>
      </c>
      <c r="AY432">
        <v>1</v>
      </c>
      <c r="AZ432">
        <v>0</v>
      </c>
      <c r="BA432">
        <v>434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CX432">
        <f>Y432*Source!I181</f>
        <v>3.1199999999999999E-3</v>
      </c>
      <c r="CY432">
        <f>AD432</f>
        <v>0</v>
      </c>
      <c r="CZ432">
        <f>AH432</f>
        <v>0</v>
      </c>
      <c r="DA432">
        <f>AL432</f>
        <v>1</v>
      </c>
      <c r="DB432">
        <v>0</v>
      </c>
    </row>
    <row r="433" spans="1:106">
      <c r="A433">
        <f>ROW(Source!A181)</f>
        <v>181</v>
      </c>
      <c r="B433">
        <v>48370320</v>
      </c>
      <c r="C433">
        <v>48373013</v>
      </c>
      <c r="D433">
        <v>37802578</v>
      </c>
      <c r="E433">
        <v>1</v>
      </c>
      <c r="F433">
        <v>1</v>
      </c>
      <c r="G433">
        <v>1</v>
      </c>
      <c r="H433">
        <v>2</v>
      </c>
      <c r="I433" t="s">
        <v>550</v>
      </c>
      <c r="J433" t="s">
        <v>551</v>
      </c>
      <c r="K433" t="s">
        <v>552</v>
      </c>
      <c r="L433">
        <v>1368</v>
      </c>
      <c r="N433">
        <v>1011</v>
      </c>
      <c r="O433" t="s">
        <v>516</v>
      </c>
      <c r="P433" t="s">
        <v>516</v>
      </c>
      <c r="Q433">
        <v>1</v>
      </c>
      <c r="W433">
        <v>0</v>
      </c>
      <c r="X433">
        <v>1753337916</v>
      </c>
      <c r="Y433">
        <v>0.1</v>
      </c>
      <c r="AA433">
        <v>0</v>
      </c>
      <c r="AB433">
        <v>327.64</v>
      </c>
      <c r="AC433">
        <v>252.65</v>
      </c>
      <c r="AD433">
        <v>0</v>
      </c>
      <c r="AE433">
        <v>0</v>
      </c>
      <c r="AF433">
        <v>32.090000000000003</v>
      </c>
      <c r="AG433">
        <v>12.1</v>
      </c>
      <c r="AH433">
        <v>0</v>
      </c>
      <c r="AI433">
        <v>1</v>
      </c>
      <c r="AJ433">
        <v>10.210000000000001</v>
      </c>
      <c r="AK433">
        <v>20.88</v>
      </c>
      <c r="AL433">
        <v>1</v>
      </c>
      <c r="AN433">
        <v>0</v>
      </c>
      <c r="AO433">
        <v>1</v>
      </c>
      <c r="AP433">
        <v>1</v>
      </c>
      <c r="AQ433">
        <v>0</v>
      </c>
      <c r="AR433">
        <v>0</v>
      </c>
      <c r="AS433" t="s">
        <v>3</v>
      </c>
      <c r="AT433">
        <v>0.08</v>
      </c>
      <c r="AU433" t="s">
        <v>160</v>
      </c>
      <c r="AV433">
        <v>0</v>
      </c>
      <c r="AW433">
        <v>2</v>
      </c>
      <c r="AX433">
        <v>48373016</v>
      </c>
      <c r="AY433">
        <v>1</v>
      </c>
      <c r="AZ433">
        <v>0</v>
      </c>
      <c r="BA433">
        <v>435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CX433">
        <f>Y433*Source!I181</f>
        <v>3.1199999999999999E-3</v>
      </c>
      <c r="CY433">
        <f>AB433</f>
        <v>327.64</v>
      </c>
      <c r="CZ433">
        <f>AF433</f>
        <v>32.090000000000003</v>
      </c>
      <c r="DA433">
        <f>AJ433</f>
        <v>10.210000000000001</v>
      </c>
      <c r="DB433">
        <v>0</v>
      </c>
    </row>
    <row r="434" spans="1:106">
      <c r="A434">
        <f>ROW(Source!A181)</f>
        <v>181</v>
      </c>
      <c r="B434">
        <v>48370320</v>
      </c>
      <c r="C434">
        <v>48373013</v>
      </c>
      <c r="D434">
        <v>37804145</v>
      </c>
      <c r="E434">
        <v>1</v>
      </c>
      <c r="F434">
        <v>1</v>
      </c>
      <c r="G434">
        <v>1</v>
      </c>
      <c r="H434">
        <v>2</v>
      </c>
      <c r="I434" t="s">
        <v>925</v>
      </c>
      <c r="J434" t="s">
        <v>926</v>
      </c>
      <c r="K434" t="s">
        <v>927</v>
      </c>
      <c r="L434">
        <v>1368</v>
      </c>
      <c r="N434">
        <v>1011</v>
      </c>
      <c r="O434" t="s">
        <v>516</v>
      </c>
      <c r="P434" t="s">
        <v>516</v>
      </c>
      <c r="Q434">
        <v>1</v>
      </c>
      <c r="W434">
        <v>0</v>
      </c>
      <c r="X434">
        <v>-250660111</v>
      </c>
      <c r="Y434">
        <v>0.32500000000000001</v>
      </c>
      <c r="AA434">
        <v>0</v>
      </c>
      <c r="AB434">
        <v>5.16</v>
      </c>
      <c r="AC434">
        <v>0</v>
      </c>
      <c r="AD434">
        <v>0</v>
      </c>
      <c r="AE434">
        <v>0</v>
      </c>
      <c r="AF434">
        <v>0.96</v>
      </c>
      <c r="AG434">
        <v>0</v>
      </c>
      <c r="AH434">
        <v>0</v>
      </c>
      <c r="AI434">
        <v>1</v>
      </c>
      <c r="AJ434">
        <v>5.38</v>
      </c>
      <c r="AK434">
        <v>20.88</v>
      </c>
      <c r="AL434">
        <v>1</v>
      </c>
      <c r="AN434">
        <v>0</v>
      </c>
      <c r="AO434">
        <v>1</v>
      </c>
      <c r="AP434">
        <v>1</v>
      </c>
      <c r="AQ434">
        <v>0</v>
      </c>
      <c r="AR434">
        <v>0</v>
      </c>
      <c r="AS434" t="s">
        <v>3</v>
      </c>
      <c r="AT434">
        <v>0.26</v>
      </c>
      <c r="AU434" t="s">
        <v>160</v>
      </c>
      <c r="AV434">
        <v>0</v>
      </c>
      <c r="AW434">
        <v>2</v>
      </c>
      <c r="AX434">
        <v>48373017</v>
      </c>
      <c r="AY434">
        <v>1</v>
      </c>
      <c r="AZ434">
        <v>0</v>
      </c>
      <c r="BA434">
        <v>436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CX434">
        <f>Y434*Source!I181</f>
        <v>1.014E-2</v>
      </c>
      <c r="CY434">
        <f>AB434</f>
        <v>5.16</v>
      </c>
      <c r="CZ434">
        <f>AF434</f>
        <v>0.96</v>
      </c>
      <c r="DA434">
        <f>AJ434</f>
        <v>5.38</v>
      </c>
      <c r="DB434">
        <v>0</v>
      </c>
    </row>
    <row r="435" spans="1:106">
      <c r="A435">
        <f>ROW(Source!A181)</f>
        <v>181</v>
      </c>
      <c r="B435">
        <v>48370320</v>
      </c>
      <c r="C435">
        <v>48373013</v>
      </c>
      <c r="D435">
        <v>37804456</v>
      </c>
      <c r="E435">
        <v>1</v>
      </c>
      <c r="F435">
        <v>1</v>
      </c>
      <c r="G435">
        <v>1</v>
      </c>
      <c r="H435">
        <v>2</v>
      </c>
      <c r="I435" t="s">
        <v>530</v>
      </c>
      <c r="J435" t="s">
        <v>531</v>
      </c>
      <c r="K435" t="s">
        <v>532</v>
      </c>
      <c r="L435">
        <v>1368</v>
      </c>
      <c r="N435">
        <v>1011</v>
      </c>
      <c r="O435" t="s">
        <v>516</v>
      </c>
      <c r="P435" t="s">
        <v>516</v>
      </c>
      <c r="Q435">
        <v>1</v>
      </c>
      <c r="W435">
        <v>0</v>
      </c>
      <c r="X435">
        <v>-671646184</v>
      </c>
      <c r="Y435">
        <v>0.625</v>
      </c>
      <c r="AA435">
        <v>0</v>
      </c>
      <c r="AB435">
        <v>844.19</v>
      </c>
      <c r="AC435">
        <v>216.11</v>
      </c>
      <c r="AD435">
        <v>0</v>
      </c>
      <c r="AE435">
        <v>0</v>
      </c>
      <c r="AF435">
        <v>91.76</v>
      </c>
      <c r="AG435">
        <v>10.35</v>
      </c>
      <c r="AH435">
        <v>0</v>
      </c>
      <c r="AI435">
        <v>1</v>
      </c>
      <c r="AJ435">
        <v>9.1999999999999993</v>
      </c>
      <c r="AK435">
        <v>20.88</v>
      </c>
      <c r="AL435">
        <v>1</v>
      </c>
      <c r="AN435">
        <v>0</v>
      </c>
      <c r="AO435">
        <v>1</v>
      </c>
      <c r="AP435">
        <v>1</v>
      </c>
      <c r="AQ435">
        <v>0</v>
      </c>
      <c r="AR435">
        <v>0</v>
      </c>
      <c r="AS435" t="s">
        <v>3</v>
      </c>
      <c r="AT435">
        <v>0.5</v>
      </c>
      <c r="AU435" t="s">
        <v>160</v>
      </c>
      <c r="AV435">
        <v>0</v>
      </c>
      <c r="AW435">
        <v>2</v>
      </c>
      <c r="AX435">
        <v>48373018</v>
      </c>
      <c r="AY435">
        <v>1</v>
      </c>
      <c r="AZ435">
        <v>0</v>
      </c>
      <c r="BA435">
        <v>437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CX435">
        <f>Y435*Source!I181</f>
        <v>1.95E-2</v>
      </c>
      <c r="CY435">
        <f>AB435</f>
        <v>844.19</v>
      </c>
      <c r="CZ435">
        <f>AF435</f>
        <v>91.76</v>
      </c>
      <c r="DA435">
        <f>AJ435</f>
        <v>9.1999999999999993</v>
      </c>
      <c r="DB435">
        <v>0</v>
      </c>
    </row>
    <row r="436" spans="1:106">
      <c r="A436">
        <f>ROW(Source!A181)</f>
        <v>181</v>
      </c>
      <c r="B436">
        <v>48370320</v>
      </c>
      <c r="C436">
        <v>48373013</v>
      </c>
      <c r="D436">
        <v>37729991</v>
      </c>
      <c r="E436">
        <v>1</v>
      </c>
      <c r="F436">
        <v>1</v>
      </c>
      <c r="G436">
        <v>1</v>
      </c>
      <c r="H436">
        <v>3</v>
      </c>
      <c r="I436" t="s">
        <v>625</v>
      </c>
      <c r="J436" t="s">
        <v>626</v>
      </c>
      <c r="K436" t="s">
        <v>627</v>
      </c>
      <c r="L436">
        <v>1346</v>
      </c>
      <c r="N436">
        <v>1009</v>
      </c>
      <c r="O436" t="s">
        <v>172</v>
      </c>
      <c r="P436" t="s">
        <v>172</v>
      </c>
      <c r="Q436">
        <v>1</v>
      </c>
      <c r="W436">
        <v>0</v>
      </c>
      <c r="X436">
        <v>844235703</v>
      </c>
      <c r="Y436">
        <v>0.2</v>
      </c>
      <c r="AA436">
        <v>26.15</v>
      </c>
      <c r="AB436">
        <v>0</v>
      </c>
      <c r="AC436">
        <v>0</v>
      </c>
      <c r="AD436">
        <v>0</v>
      </c>
      <c r="AE436">
        <v>1.82</v>
      </c>
      <c r="AF436">
        <v>0</v>
      </c>
      <c r="AG436">
        <v>0</v>
      </c>
      <c r="AH436">
        <v>0</v>
      </c>
      <c r="AI436">
        <v>14.37</v>
      </c>
      <c r="AJ436">
        <v>1</v>
      </c>
      <c r="AK436">
        <v>1</v>
      </c>
      <c r="AL436">
        <v>1</v>
      </c>
      <c r="AN436">
        <v>0</v>
      </c>
      <c r="AO436">
        <v>1</v>
      </c>
      <c r="AP436">
        <v>0</v>
      </c>
      <c r="AQ436">
        <v>0</v>
      </c>
      <c r="AR436">
        <v>0</v>
      </c>
      <c r="AS436" t="s">
        <v>3</v>
      </c>
      <c r="AT436">
        <v>0.2</v>
      </c>
      <c r="AU436" t="s">
        <v>3</v>
      </c>
      <c r="AV436">
        <v>0</v>
      </c>
      <c r="AW436">
        <v>2</v>
      </c>
      <c r="AX436">
        <v>48373019</v>
      </c>
      <c r="AY436">
        <v>1</v>
      </c>
      <c r="AZ436">
        <v>0</v>
      </c>
      <c r="BA436">
        <v>438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CX436">
        <f>Y436*Source!I181</f>
        <v>6.2399999999999999E-3</v>
      </c>
      <c r="CY436">
        <f>AA436</f>
        <v>26.15</v>
      </c>
      <c r="CZ436">
        <f>AE436</f>
        <v>1.82</v>
      </c>
      <c r="DA436">
        <f>AI436</f>
        <v>14.37</v>
      </c>
      <c r="DB436">
        <v>0</v>
      </c>
    </row>
    <row r="437" spans="1:106">
      <c r="A437">
        <f>ROW(Source!A181)</f>
        <v>181</v>
      </c>
      <c r="B437">
        <v>48370320</v>
      </c>
      <c r="C437">
        <v>48373013</v>
      </c>
      <c r="D437">
        <v>37731832</v>
      </c>
      <c r="E437">
        <v>1</v>
      </c>
      <c r="F437">
        <v>1</v>
      </c>
      <c r="G437">
        <v>1</v>
      </c>
      <c r="H437">
        <v>3</v>
      </c>
      <c r="I437" t="s">
        <v>400</v>
      </c>
      <c r="J437" t="s">
        <v>403</v>
      </c>
      <c r="K437" t="s">
        <v>401</v>
      </c>
      <c r="L437">
        <v>1329</v>
      </c>
      <c r="N437">
        <v>1005</v>
      </c>
      <c r="O437" t="s">
        <v>402</v>
      </c>
      <c r="P437" t="s">
        <v>402</v>
      </c>
      <c r="Q437">
        <v>1000</v>
      </c>
      <c r="W437">
        <v>1</v>
      </c>
      <c r="X437">
        <v>1453452198</v>
      </c>
      <c r="Y437">
        <v>-0.105</v>
      </c>
      <c r="AA437">
        <v>194452.88</v>
      </c>
      <c r="AB437">
        <v>0</v>
      </c>
      <c r="AC437">
        <v>0</v>
      </c>
      <c r="AD437">
        <v>0</v>
      </c>
      <c r="AE437">
        <v>113054</v>
      </c>
      <c r="AF437">
        <v>0</v>
      </c>
      <c r="AG437">
        <v>0</v>
      </c>
      <c r="AH437">
        <v>0</v>
      </c>
      <c r="AI437">
        <v>1.72</v>
      </c>
      <c r="AJ437">
        <v>1</v>
      </c>
      <c r="AK437">
        <v>1</v>
      </c>
      <c r="AL437">
        <v>1</v>
      </c>
      <c r="AN437">
        <v>0</v>
      </c>
      <c r="AO437">
        <v>1</v>
      </c>
      <c r="AP437">
        <v>0</v>
      </c>
      <c r="AQ437">
        <v>0</v>
      </c>
      <c r="AR437">
        <v>0</v>
      </c>
      <c r="AS437" t="s">
        <v>3</v>
      </c>
      <c r="AT437">
        <v>-0.105</v>
      </c>
      <c r="AU437" t="s">
        <v>3</v>
      </c>
      <c r="AV437">
        <v>0</v>
      </c>
      <c r="AW437">
        <v>2</v>
      </c>
      <c r="AX437">
        <v>48373020</v>
      </c>
      <c r="AY437">
        <v>1</v>
      </c>
      <c r="AZ437">
        <v>6144</v>
      </c>
      <c r="BA437">
        <v>439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CX437">
        <f>Y437*Source!I181</f>
        <v>-3.2759999999999998E-3</v>
      </c>
      <c r="CY437">
        <f>AA437</f>
        <v>194452.88</v>
      </c>
      <c r="CZ437">
        <f>AE437</f>
        <v>113054</v>
      </c>
      <c r="DA437">
        <f>AI437</f>
        <v>1.72</v>
      </c>
      <c r="DB437">
        <v>0</v>
      </c>
    </row>
    <row r="438" spans="1:106">
      <c r="A438">
        <f>ROW(Source!A181)</f>
        <v>181</v>
      </c>
      <c r="B438">
        <v>48370320</v>
      </c>
      <c r="C438">
        <v>48373013</v>
      </c>
      <c r="D438">
        <v>37731585</v>
      </c>
      <c r="E438">
        <v>1</v>
      </c>
      <c r="F438">
        <v>1</v>
      </c>
      <c r="G438">
        <v>1</v>
      </c>
      <c r="H438">
        <v>3</v>
      </c>
      <c r="I438" t="s">
        <v>928</v>
      </c>
      <c r="J438" t="s">
        <v>929</v>
      </c>
      <c r="K438" t="s">
        <v>930</v>
      </c>
      <c r="L438">
        <v>1346</v>
      </c>
      <c r="N438">
        <v>1009</v>
      </c>
      <c r="O438" t="s">
        <v>172</v>
      </c>
      <c r="P438" t="s">
        <v>172</v>
      </c>
      <c r="Q438">
        <v>1</v>
      </c>
      <c r="W438">
        <v>0</v>
      </c>
      <c r="X438">
        <v>1699861347</v>
      </c>
      <c r="Y438">
        <v>30</v>
      </c>
      <c r="AA438">
        <v>55.68</v>
      </c>
      <c r="AB438">
        <v>0</v>
      </c>
      <c r="AC438">
        <v>0</v>
      </c>
      <c r="AD438">
        <v>0</v>
      </c>
      <c r="AE438">
        <v>16.14</v>
      </c>
      <c r="AF438">
        <v>0</v>
      </c>
      <c r="AG438">
        <v>0</v>
      </c>
      <c r="AH438">
        <v>0</v>
      </c>
      <c r="AI438">
        <v>3.45</v>
      </c>
      <c r="AJ438">
        <v>1</v>
      </c>
      <c r="AK438">
        <v>1</v>
      </c>
      <c r="AL438">
        <v>1</v>
      </c>
      <c r="AN438">
        <v>0</v>
      </c>
      <c r="AO438">
        <v>1</v>
      </c>
      <c r="AP438">
        <v>0</v>
      </c>
      <c r="AQ438">
        <v>0</v>
      </c>
      <c r="AR438">
        <v>0</v>
      </c>
      <c r="AS438" t="s">
        <v>3</v>
      </c>
      <c r="AT438">
        <v>30</v>
      </c>
      <c r="AU438" t="s">
        <v>3</v>
      </c>
      <c r="AV438">
        <v>0</v>
      </c>
      <c r="AW438">
        <v>2</v>
      </c>
      <c r="AX438">
        <v>48373021</v>
      </c>
      <c r="AY438">
        <v>1</v>
      </c>
      <c r="AZ438">
        <v>0</v>
      </c>
      <c r="BA438">
        <v>440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CX438">
        <f>Y438*Source!I181</f>
        <v>0.93599999999999994</v>
      </c>
      <c r="CY438">
        <f>AA438</f>
        <v>55.68</v>
      </c>
      <c r="CZ438">
        <f>AE438</f>
        <v>16.14</v>
      </c>
      <c r="DA438">
        <f>AI438</f>
        <v>3.45</v>
      </c>
      <c r="DB438">
        <v>0</v>
      </c>
    </row>
    <row r="439" spans="1:106">
      <c r="A439">
        <f>ROW(Source!A181)</f>
        <v>181</v>
      </c>
      <c r="B439">
        <v>48370320</v>
      </c>
      <c r="C439">
        <v>48373013</v>
      </c>
      <c r="D439">
        <v>37731525</v>
      </c>
      <c r="E439">
        <v>1</v>
      </c>
      <c r="F439">
        <v>1</v>
      </c>
      <c r="G439">
        <v>1</v>
      </c>
      <c r="H439">
        <v>3</v>
      </c>
      <c r="I439" t="s">
        <v>931</v>
      </c>
      <c r="J439" t="s">
        <v>932</v>
      </c>
      <c r="K439" t="s">
        <v>933</v>
      </c>
      <c r="L439">
        <v>1348</v>
      </c>
      <c r="N439">
        <v>1009</v>
      </c>
      <c r="O439" t="s">
        <v>536</v>
      </c>
      <c r="P439" t="s">
        <v>536</v>
      </c>
      <c r="Q439">
        <v>1000</v>
      </c>
      <c r="W439">
        <v>0</v>
      </c>
      <c r="X439">
        <v>592267411</v>
      </c>
      <c r="Y439">
        <v>8.8999999999999999E-3</v>
      </c>
      <c r="AA439">
        <v>26878.37</v>
      </c>
      <c r="AB439">
        <v>0</v>
      </c>
      <c r="AC439">
        <v>0</v>
      </c>
      <c r="AD439">
        <v>0</v>
      </c>
      <c r="AE439">
        <v>6081.08</v>
      </c>
      <c r="AF439">
        <v>0</v>
      </c>
      <c r="AG439">
        <v>0</v>
      </c>
      <c r="AH439">
        <v>0</v>
      </c>
      <c r="AI439">
        <v>4.42</v>
      </c>
      <c r="AJ439">
        <v>1</v>
      </c>
      <c r="AK439">
        <v>1</v>
      </c>
      <c r="AL439">
        <v>1</v>
      </c>
      <c r="AN439">
        <v>0</v>
      </c>
      <c r="AO439">
        <v>1</v>
      </c>
      <c r="AP439">
        <v>0</v>
      </c>
      <c r="AQ439">
        <v>0</v>
      </c>
      <c r="AR439">
        <v>0</v>
      </c>
      <c r="AS439" t="s">
        <v>3</v>
      </c>
      <c r="AT439">
        <v>8.8999999999999999E-3</v>
      </c>
      <c r="AU439" t="s">
        <v>3</v>
      </c>
      <c r="AV439">
        <v>0</v>
      </c>
      <c r="AW439">
        <v>2</v>
      </c>
      <c r="AX439">
        <v>48373022</v>
      </c>
      <c r="AY439">
        <v>1</v>
      </c>
      <c r="AZ439">
        <v>0</v>
      </c>
      <c r="BA439">
        <v>441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CX439">
        <f>Y439*Source!I181</f>
        <v>2.7767999999999998E-4</v>
      </c>
      <c r="CY439">
        <f>AA439</f>
        <v>26878.37</v>
      </c>
      <c r="CZ439">
        <f>AE439</f>
        <v>6081.08</v>
      </c>
      <c r="DA439">
        <f>AI439</f>
        <v>4.42</v>
      </c>
      <c r="DB439">
        <v>0</v>
      </c>
    </row>
    <row r="440" spans="1:106">
      <c r="A440">
        <f>ROW(Source!A184)</f>
        <v>184</v>
      </c>
      <c r="B440">
        <v>48370320</v>
      </c>
      <c r="C440">
        <v>48373024</v>
      </c>
      <c r="D440">
        <v>23134047</v>
      </c>
      <c r="E440">
        <v>1</v>
      </c>
      <c r="F440">
        <v>1</v>
      </c>
      <c r="G440">
        <v>1</v>
      </c>
      <c r="H440">
        <v>1</v>
      </c>
      <c r="I440" t="s">
        <v>522</v>
      </c>
      <c r="J440" t="s">
        <v>3</v>
      </c>
      <c r="K440" t="s">
        <v>523</v>
      </c>
      <c r="L440">
        <v>1369</v>
      </c>
      <c r="N440">
        <v>1013</v>
      </c>
      <c r="O440" t="s">
        <v>510</v>
      </c>
      <c r="P440" t="s">
        <v>510</v>
      </c>
      <c r="Q440">
        <v>1</v>
      </c>
      <c r="W440">
        <v>0</v>
      </c>
      <c r="X440">
        <v>859696649</v>
      </c>
      <c r="Y440">
        <v>165.88</v>
      </c>
      <c r="AA440">
        <v>0</v>
      </c>
      <c r="AB440">
        <v>0</v>
      </c>
      <c r="AC440">
        <v>0</v>
      </c>
      <c r="AD440">
        <v>8.07</v>
      </c>
      <c r="AE440">
        <v>0</v>
      </c>
      <c r="AF440">
        <v>0</v>
      </c>
      <c r="AG440">
        <v>0</v>
      </c>
      <c r="AH440">
        <v>8.07</v>
      </c>
      <c r="AI440">
        <v>1</v>
      </c>
      <c r="AJ440">
        <v>1</v>
      </c>
      <c r="AK440">
        <v>1</v>
      </c>
      <c r="AL440">
        <v>1</v>
      </c>
      <c r="AN440">
        <v>0</v>
      </c>
      <c r="AO440">
        <v>1</v>
      </c>
      <c r="AP440">
        <v>0</v>
      </c>
      <c r="AQ440">
        <v>0</v>
      </c>
      <c r="AR440">
        <v>0</v>
      </c>
      <c r="AS440" t="s">
        <v>3</v>
      </c>
      <c r="AT440">
        <v>165.88</v>
      </c>
      <c r="AU440" t="s">
        <v>3</v>
      </c>
      <c r="AV440">
        <v>1</v>
      </c>
      <c r="AW440">
        <v>2</v>
      </c>
      <c r="AX440">
        <v>48373036</v>
      </c>
      <c r="AY440">
        <v>1</v>
      </c>
      <c r="AZ440">
        <v>0</v>
      </c>
      <c r="BA440">
        <v>442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CX440">
        <f>Y440*Source!I184</f>
        <v>3.2512479999999999</v>
      </c>
      <c r="CY440">
        <f>AD440</f>
        <v>8.07</v>
      </c>
      <c r="CZ440">
        <f>AH440</f>
        <v>8.07</v>
      </c>
      <c r="DA440">
        <f>AL440</f>
        <v>1</v>
      </c>
      <c r="DB440">
        <v>0</v>
      </c>
    </row>
    <row r="441" spans="1:106">
      <c r="A441">
        <f>ROW(Source!A184)</f>
        <v>184</v>
      </c>
      <c r="B441">
        <v>48370320</v>
      </c>
      <c r="C441">
        <v>48373024</v>
      </c>
      <c r="D441">
        <v>121548</v>
      </c>
      <c r="E441">
        <v>1</v>
      </c>
      <c r="F441">
        <v>1</v>
      </c>
      <c r="G441">
        <v>1</v>
      </c>
      <c r="H441">
        <v>1</v>
      </c>
      <c r="I441" t="s">
        <v>24</v>
      </c>
      <c r="J441" t="s">
        <v>3</v>
      </c>
      <c r="K441" t="s">
        <v>511</v>
      </c>
      <c r="L441">
        <v>608254</v>
      </c>
      <c r="N441">
        <v>1013</v>
      </c>
      <c r="O441" t="s">
        <v>512</v>
      </c>
      <c r="P441" t="s">
        <v>512</v>
      </c>
      <c r="Q441">
        <v>1</v>
      </c>
      <c r="W441">
        <v>0</v>
      </c>
      <c r="X441">
        <v>-185737400</v>
      </c>
      <c r="Y441">
        <v>0.47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1</v>
      </c>
      <c r="AJ441">
        <v>1</v>
      </c>
      <c r="AK441">
        <v>1</v>
      </c>
      <c r="AL441">
        <v>1</v>
      </c>
      <c r="AN441">
        <v>0</v>
      </c>
      <c r="AO441">
        <v>1</v>
      </c>
      <c r="AP441">
        <v>0</v>
      </c>
      <c r="AQ441">
        <v>0</v>
      </c>
      <c r="AR441">
        <v>0</v>
      </c>
      <c r="AS441" t="s">
        <v>3</v>
      </c>
      <c r="AT441">
        <v>0.47</v>
      </c>
      <c r="AU441" t="s">
        <v>3</v>
      </c>
      <c r="AV441">
        <v>2</v>
      </c>
      <c r="AW441">
        <v>2</v>
      </c>
      <c r="AX441">
        <v>48373037</v>
      </c>
      <c r="AY441">
        <v>1</v>
      </c>
      <c r="AZ441">
        <v>0</v>
      </c>
      <c r="BA441">
        <v>443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CX441">
        <f>Y441*Source!I184</f>
        <v>9.2119999999999997E-3</v>
      </c>
      <c r="CY441">
        <f>AD441</f>
        <v>0</v>
      </c>
      <c r="CZ441">
        <f>AH441</f>
        <v>0</v>
      </c>
      <c r="DA441">
        <f>AL441</f>
        <v>1</v>
      </c>
      <c r="DB441">
        <v>0</v>
      </c>
    </row>
    <row r="442" spans="1:106">
      <c r="A442">
        <f>ROW(Source!A184)</f>
        <v>184</v>
      </c>
      <c r="B442">
        <v>48370320</v>
      </c>
      <c r="C442">
        <v>48373024</v>
      </c>
      <c r="D442">
        <v>37802541</v>
      </c>
      <c r="E442">
        <v>1</v>
      </c>
      <c r="F442">
        <v>1</v>
      </c>
      <c r="G442">
        <v>1</v>
      </c>
      <c r="H442">
        <v>2</v>
      </c>
      <c r="I442" t="s">
        <v>524</v>
      </c>
      <c r="J442" t="s">
        <v>525</v>
      </c>
      <c r="K442" t="s">
        <v>526</v>
      </c>
      <c r="L442">
        <v>1368</v>
      </c>
      <c r="N442">
        <v>1011</v>
      </c>
      <c r="O442" t="s">
        <v>516</v>
      </c>
      <c r="P442" t="s">
        <v>516</v>
      </c>
      <c r="Q442">
        <v>1</v>
      </c>
      <c r="W442">
        <v>0</v>
      </c>
      <c r="X442">
        <v>-946971640</v>
      </c>
      <c r="Y442">
        <v>0.16</v>
      </c>
      <c r="AA442">
        <v>0</v>
      </c>
      <c r="AB442">
        <v>7.81</v>
      </c>
      <c r="AC442">
        <v>0</v>
      </c>
      <c r="AD442">
        <v>0</v>
      </c>
      <c r="AE442">
        <v>0</v>
      </c>
      <c r="AF442">
        <v>1.85</v>
      </c>
      <c r="AG442">
        <v>0</v>
      </c>
      <c r="AH442">
        <v>0</v>
      </c>
      <c r="AI442">
        <v>1</v>
      </c>
      <c r="AJ442">
        <v>4.22</v>
      </c>
      <c r="AK442">
        <v>20.88</v>
      </c>
      <c r="AL442">
        <v>1</v>
      </c>
      <c r="AN442">
        <v>0</v>
      </c>
      <c r="AO442">
        <v>1</v>
      </c>
      <c r="AP442">
        <v>0</v>
      </c>
      <c r="AQ442">
        <v>0</v>
      </c>
      <c r="AR442">
        <v>0</v>
      </c>
      <c r="AS442" t="s">
        <v>3</v>
      </c>
      <c r="AT442">
        <v>0.16</v>
      </c>
      <c r="AU442" t="s">
        <v>3</v>
      </c>
      <c r="AV442">
        <v>0</v>
      </c>
      <c r="AW442">
        <v>2</v>
      </c>
      <c r="AX442">
        <v>48373038</v>
      </c>
      <c r="AY442">
        <v>1</v>
      </c>
      <c r="AZ442">
        <v>0</v>
      </c>
      <c r="BA442">
        <v>444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CX442">
        <f>Y442*Source!I184</f>
        <v>3.1359999999999999E-3</v>
      </c>
      <c r="CY442">
        <f>AB442</f>
        <v>7.81</v>
      </c>
      <c r="CZ442">
        <f>AF442</f>
        <v>1.85</v>
      </c>
      <c r="DA442">
        <f>AJ442</f>
        <v>4.22</v>
      </c>
      <c r="DB442">
        <v>0</v>
      </c>
    </row>
    <row r="443" spans="1:106">
      <c r="A443">
        <f>ROW(Source!A184)</f>
        <v>184</v>
      </c>
      <c r="B443">
        <v>48370320</v>
      </c>
      <c r="C443">
        <v>48373024</v>
      </c>
      <c r="D443">
        <v>37802657</v>
      </c>
      <c r="E443">
        <v>1</v>
      </c>
      <c r="F443">
        <v>1</v>
      </c>
      <c r="G443">
        <v>1</v>
      </c>
      <c r="H443">
        <v>2</v>
      </c>
      <c r="I443" t="s">
        <v>527</v>
      </c>
      <c r="J443" t="s">
        <v>528</v>
      </c>
      <c r="K443" t="s">
        <v>529</v>
      </c>
      <c r="L443">
        <v>1368</v>
      </c>
      <c r="N443">
        <v>1011</v>
      </c>
      <c r="O443" t="s">
        <v>516</v>
      </c>
      <c r="P443" t="s">
        <v>516</v>
      </c>
      <c r="Q443">
        <v>1</v>
      </c>
      <c r="W443">
        <v>0</v>
      </c>
      <c r="X443">
        <v>1084334125</v>
      </c>
      <c r="Y443">
        <v>0.74</v>
      </c>
      <c r="AA443">
        <v>0</v>
      </c>
      <c r="AB443">
        <v>46.89</v>
      </c>
      <c r="AC443">
        <v>0</v>
      </c>
      <c r="AD443">
        <v>0</v>
      </c>
      <c r="AE443">
        <v>0</v>
      </c>
      <c r="AF443">
        <v>7.55</v>
      </c>
      <c r="AG443">
        <v>0</v>
      </c>
      <c r="AH443">
        <v>0</v>
      </c>
      <c r="AI443">
        <v>1</v>
      </c>
      <c r="AJ443">
        <v>6.21</v>
      </c>
      <c r="AK443">
        <v>20.88</v>
      </c>
      <c r="AL443">
        <v>1</v>
      </c>
      <c r="AN443">
        <v>0</v>
      </c>
      <c r="AO443">
        <v>1</v>
      </c>
      <c r="AP443">
        <v>0</v>
      </c>
      <c r="AQ443">
        <v>0</v>
      </c>
      <c r="AR443">
        <v>0</v>
      </c>
      <c r="AS443" t="s">
        <v>3</v>
      </c>
      <c r="AT443">
        <v>0.74</v>
      </c>
      <c r="AU443" t="s">
        <v>3</v>
      </c>
      <c r="AV443">
        <v>0</v>
      </c>
      <c r="AW443">
        <v>2</v>
      </c>
      <c r="AX443">
        <v>48373039</v>
      </c>
      <c r="AY443">
        <v>1</v>
      </c>
      <c r="AZ443">
        <v>0</v>
      </c>
      <c r="BA443">
        <v>445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CX443">
        <f>Y443*Source!I184</f>
        <v>1.4504E-2</v>
      </c>
      <c r="CY443">
        <f>AB443</f>
        <v>46.89</v>
      </c>
      <c r="CZ443">
        <f>AF443</f>
        <v>7.55</v>
      </c>
      <c r="DA443">
        <f>AJ443</f>
        <v>6.21</v>
      </c>
      <c r="DB443">
        <v>0</v>
      </c>
    </row>
    <row r="444" spans="1:106">
      <c r="A444">
        <f>ROW(Source!A184)</f>
        <v>184</v>
      </c>
      <c r="B444">
        <v>48370320</v>
      </c>
      <c r="C444">
        <v>48373024</v>
      </c>
      <c r="D444">
        <v>37802699</v>
      </c>
      <c r="E444">
        <v>1</v>
      </c>
      <c r="F444">
        <v>1</v>
      </c>
      <c r="G444">
        <v>1</v>
      </c>
      <c r="H444">
        <v>2</v>
      </c>
      <c r="I444" t="s">
        <v>513</v>
      </c>
      <c r="J444" t="s">
        <v>514</v>
      </c>
      <c r="K444" t="s">
        <v>515</v>
      </c>
      <c r="L444">
        <v>1368</v>
      </c>
      <c r="N444">
        <v>1011</v>
      </c>
      <c r="O444" t="s">
        <v>516</v>
      </c>
      <c r="P444" t="s">
        <v>516</v>
      </c>
      <c r="Q444">
        <v>1</v>
      </c>
      <c r="W444">
        <v>0</v>
      </c>
      <c r="X444">
        <v>2133576372</v>
      </c>
      <c r="Y444">
        <v>0.47</v>
      </c>
      <c r="AA444">
        <v>0</v>
      </c>
      <c r="AB444">
        <v>591.41999999999996</v>
      </c>
      <c r="AC444">
        <v>187.92</v>
      </c>
      <c r="AD444">
        <v>0</v>
      </c>
      <c r="AE444">
        <v>0</v>
      </c>
      <c r="AF444">
        <v>59.38</v>
      </c>
      <c r="AG444">
        <v>9</v>
      </c>
      <c r="AH444">
        <v>0</v>
      </c>
      <c r="AI444">
        <v>1</v>
      </c>
      <c r="AJ444">
        <v>9.9600000000000009</v>
      </c>
      <c r="AK444">
        <v>20.88</v>
      </c>
      <c r="AL444">
        <v>1</v>
      </c>
      <c r="AN444">
        <v>0</v>
      </c>
      <c r="AO444">
        <v>1</v>
      </c>
      <c r="AP444">
        <v>0</v>
      </c>
      <c r="AQ444">
        <v>0</v>
      </c>
      <c r="AR444">
        <v>0</v>
      </c>
      <c r="AS444" t="s">
        <v>3</v>
      </c>
      <c r="AT444">
        <v>0.47</v>
      </c>
      <c r="AU444" t="s">
        <v>3</v>
      </c>
      <c r="AV444">
        <v>0</v>
      </c>
      <c r="AW444">
        <v>2</v>
      </c>
      <c r="AX444">
        <v>48373040</v>
      </c>
      <c r="AY444">
        <v>1</v>
      </c>
      <c r="AZ444">
        <v>0</v>
      </c>
      <c r="BA444">
        <v>446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CX444">
        <f>Y444*Source!I184</f>
        <v>9.2119999999999997E-3</v>
      </c>
      <c r="CY444">
        <f>AB444</f>
        <v>591.41999999999996</v>
      </c>
      <c r="CZ444">
        <f>AF444</f>
        <v>59.38</v>
      </c>
      <c r="DA444">
        <f>AJ444</f>
        <v>9.9600000000000009</v>
      </c>
      <c r="DB444">
        <v>0</v>
      </c>
    </row>
    <row r="445" spans="1:106">
      <c r="A445">
        <f>ROW(Source!A184)</f>
        <v>184</v>
      </c>
      <c r="B445">
        <v>48370320</v>
      </c>
      <c r="C445">
        <v>48373024</v>
      </c>
      <c r="D445">
        <v>37804095</v>
      </c>
      <c r="E445">
        <v>1</v>
      </c>
      <c r="F445">
        <v>1</v>
      </c>
      <c r="G445">
        <v>1</v>
      </c>
      <c r="H445">
        <v>2</v>
      </c>
      <c r="I445" t="s">
        <v>517</v>
      </c>
      <c r="J445" t="s">
        <v>518</v>
      </c>
      <c r="K445" t="s">
        <v>519</v>
      </c>
      <c r="L445">
        <v>1368</v>
      </c>
      <c r="N445">
        <v>1011</v>
      </c>
      <c r="O445" t="s">
        <v>516</v>
      </c>
      <c r="P445" t="s">
        <v>516</v>
      </c>
      <c r="Q445">
        <v>1</v>
      </c>
      <c r="W445">
        <v>0</v>
      </c>
      <c r="X445">
        <v>1159152410</v>
      </c>
      <c r="Y445">
        <v>0.92</v>
      </c>
      <c r="AA445">
        <v>0</v>
      </c>
      <c r="AB445">
        <v>5.53</v>
      </c>
      <c r="AC445">
        <v>0</v>
      </c>
      <c r="AD445">
        <v>0</v>
      </c>
      <c r="AE445">
        <v>0</v>
      </c>
      <c r="AF445">
        <v>1.69</v>
      </c>
      <c r="AG445">
        <v>0</v>
      </c>
      <c r="AH445">
        <v>0</v>
      </c>
      <c r="AI445">
        <v>1</v>
      </c>
      <c r="AJ445">
        <v>3.27</v>
      </c>
      <c r="AK445">
        <v>20.88</v>
      </c>
      <c r="AL445">
        <v>1</v>
      </c>
      <c r="AN445">
        <v>0</v>
      </c>
      <c r="AO445">
        <v>1</v>
      </c>
      <c r="AP445">
        <v>0</v>
      </c>
      <c r="AQ445">
        <v>0</v>
      </c>
      <c r="AR445">
        <v>0</v>
      </c>
      <c r="AS445" t="s">
        <v>3</v>
      </c>
      <c r="AT445">
        <v>0.92</v>
      </c>
      <c r="AU445" t="s">
        <v>3</v>
      </c>
      <c r="AV445">
        <v>0</v>
      </c>
      <c r="AW445">
        <v>2</v>
      </c>
      <c r="AX445">
        <v>48373041</v>
      </c>
      <c r="AY445">
        <v>1</v>
      </c>
      <c r="AZ445">
        <v>0</v>
      </c>
      <c r="BA445">
        <v>447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CX445">
        <f>Y445*Source!I184</f>
        <v>1.8031999999999999E-2</v>
      </c>
      <c r="CY445">
        <f>AB445</f>
        <v>5.53</v>
      </c>
      <c r="CZ445">
        <f>AF445</f>
        <v>1.69</v>
      </c>
      <c r="DA445">
        <f>AJ445</f>
        <v>3.27</v>
      </c>
      <c r="DB445">
        <v>0</v>
      </c>
    </row>
    <row r="446" spans="1:106">
      <c r="A446">
        <f>ROW(Source!A184)</f>
        <v>184</v>
      </c>
      <c r="B446">
        <v>48370320</v>
      </c>
      <c r="C446">
        <v>48373024</v>
      </c>
      <c r="D446">
        <v>37804456</v>
      </c>
      <c r="E446">
        <v>1</v>
      </c>
      <c r="F446">
        <v>1</v>
      </c>
      <c r="G446">
        <v>1</v>
      </c>
      <c r="H446">
        <v>2</v>
      </c>
      <c r="I446" t="s">
        <v>530</v>
      </c>
      <c r="J446" t="s">
        <v>531</v>
      </c>
      <c r="K446" t="s">
        <v>532</v>
      </c>
      <c r="L446">
        <v>1368</v>
      </c>
      <c r="N446">
        <v>1011</v>
      </c>
      <c r="O446" t="s">
        <v>516</v>
      </c>
      <c r="P446" t="s">
        <v>516</v>
      </c>
      <c r="Q446">
        <v>1</v>
      </c>
      <c r="W446">
        <v>0</v>
      </c>
      <c r="X446">
        <v>-671646184</v>
      </c>
      <c r="Y446">
        <v>0.2</v>
      </c>
      <c r="AA446">
        <v>0</v>
      </c>
      <c r="AB446">
        <v>844.19</v>
      </c>
      <c r="AC446">
        <v>216.11</v>
      </c>
      <c r="AD446">
        <v>0</v>
      </c>
      <c r="AE446">
        <v>0</v>
      </c>
      <c r="AF446">
        <v>91.76</v>
      </c>
      <c r="AG446">
        <v>10.35</v>
      </c>
      <c r="AH446">
        <v>0</v>
      </c>
      <c r="AI446">
        <v>1</v>
      </c>
      <c r="AJ446">
        <v>9.1999999999999993</v>
      </c>
      <c r="AK446">
        <v>20.88</v>
      </c>
      <c r="AL446">
        <v>1</v>
      </c>
      <c r="AN446">
        <v>0</v>
      </c>
      <c r="AO446">
        <v>1</v>
      </c>
      <c r="AP446">
        <v>0</v>
      </c>
      <c r="AQ446">
        <v>0</v>
      </c>
      <c r="AR446">
        <v>0</v>
      </c>
      <c r="AS446" t="s">
        <v>3</v>
      </c>
      <c r="AT446">
        <v>0.2</v>
      </c>
      <c r="AU446" t="s">
        <v>3</v>
      </c>
      <c r="AV446">
        <v>0</v>
      </c>
      <c r="AW446">
        <v>2</v>
      </c>
      <c r="AX446">
        <v>48373042</v>
      </c>
      <c r="AY446">
        <v>1</v>
      </c>
      <c r="AZ446">
        <v>0</v>
      </c>
      <c r="BA446">
        <v>448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CX446">
        <f>Y446*Source!I184</f>
        <v>3.9199999999999999E-3</v>
      </c>
      <c r="CY446">
        <f>AB446</f>
        <v>844.19</v>
      </c>
      <c r="CZ446">
        <f>AF446</f>
        <v>91.76</v>
      </c>
      <c r="DA446">
        <f>AJ446</f>
        <v>9.1999999999999993</v>
      </c>
      <c r="DB446">
        <v>0</v>
      </c>
    </row>
    <row r="447" spans="1:106">
      <c r="A447">
        <f>ROW(Source!A184)</f>
        <v>184</v>
      </c>
      <c r="B447">
        <v>48370320</v>
      </c>
      <c r="C447">
        <v>48373024</v>
      </c>
      <c r="D447">
        <v>37736612</v>
      </c>
      <c r="E447">
        <v>1</v>
      </c>
      <c r="F447">
        <v>1</v>
      </c>
      <c r="G447">
        <v>1</v>
      </c>
      <c r="H447">
        <v>3</v>
      </c>
      <c r="I447" t="s">
        <v>533</v>
      </c>
      <c r="J447" t="s">
        <v>534</v>
      </c>
      <c r="K447" t="s">
        <v>535</v>
      </c>
      <c r="L447">
        <v>1348</v>
      </c>
      <c r="N447">
        <v>1009</v>
      </c>
      <c r="O447" t="s">
        <v>536</v>
      </c>
      <c r="P447" t="s">
        <v>536</v>
      </c>
      <c r="Q447">
        <v>1000</v>
      </c>
      <c r="W447">
        <v>0</v>
      </c>
      <c r="X447">
        <v>950208609</v>
      </c>
      <c r="Y447">
        <v>8.9999999999999993E-3</v>
      </c>
      <c r="AA447">
        <v>48439.360000000001</v>
      </c>
      <c r="AB447">
        <v>0</v>
      </c>
      <c r="AC447">
        <v>0</v>
      </c>
      <c r="AD447">
        <v>0</v>
      </c>
      <c r="AE447">
        <v>9424</v>
      </c>
      <c r="AF447">
        <v>0</v>
      </c>
      <c r="AG447">
        <v>0</v>
      </c>
      <c r="AH447">
        <v>0</v>
      </c>
      <c r="AI447">
        <v>5.14</v>
      </c>
      <c r="AJ447">
        <v>1</v>
      </c>
      <c r="AK447">
        <v>1</v>
      </c>
      <c r="AL447">
        <v>1</v>
      </c>
      <c r="AN447">
        <v>0</v>
      </c>
      <c r="AO447">
        <v>1</v>
      </c>
      <c r="AP447">
        <v>0</v>
      </c>
      <c r="AQ447">
        <v>0</v>
      </c>
      <c r="AR447">
        <v>0</v>
      </c>
      <c r="AS447" t="s">
        <v>3</v>
      </c>
      <c r="AT447">
        <v>8.9999999999999993E-3</v>
      </c>
      <c r="AU447" t="s">
        <v>3</v>
      </c>
      <c r="AV447">
        <v>0</v>
      </c>
      <c r="AW447">
        <v>2</v>
      </c>
      <c r="AX447">
        <v>48373043</v>
      </c>
      <c r="AY447">
        <v>1</v>
      </c>
      <c r="AZ447">
        <v>0</v>
      </c>
      <c r="BA447">
        <v>449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CX447">
        <f>Y447*Source!I184</f>
        <v>1.7639999999999998E-4</v>
      </c>
      <c r="CY447">
        <f>AA447</f>
        <v>48439.360000000001</v>
      </c>
      <c r="CZ447">
        <f>AE447</f>
        <v>9424</v>
      </c>
      <c r="DA447">
        <f>AI447</f>
        <v>5.14</v>
      </c>
      <c r="DB447">
        <v>0</v>
      </c>
    </row>
    <row r="448" spans="1:106">
      <c r="A448">
        <f>ROW(Source!A184)</f>
        <v>184</v>
      </c>
      <c r="B448">
        <v>48370320</v>
      </c>
      <c r="C448">
        <v>48373024</v>
      </c>
      <c r="D448">
        <v>37751313</v>
      </c>
      <c r="E448">
        <v>1</v>
      </c>
      <c r="F448">
        <v>1</v>
      </c>
      <c r="G448">
        <v>1</v>
      </c>
      <c r="H448">
        <v>3</v>
      </c>
      <c r="I448" t="s">
        <v>537</v>
      </c>
      <c r="J448" t="s">
        <v>538</v>
      </c>
      <c r="K448" t="s">
        <v>539</v>
      </c>
      <c r="L448">
        <v>1348</v>
      </c>
      <c r="N448">
        <v>1009</v>
      </c>
      <c r="O448" t="s">
        <v>536</v>
      </c>
      <c r="P448" t="s">
        <v>536</v>
      </c>
      <c r="Q448">
        <v>1000</v>
      </c>
      <c r="W448">
        <v>0</v>
      </c>
      <c r="X448">
        <v>1768766074</v>
      </c>
      <c r="Y448">
        <v>1.04</v>
      </c>
      <c r="AA448">
        <v>67218.559999999998</v>
      </c>
      <c r="AB448">
        <v>0</v>
      </c>
      <c r="AC448">
        <v>0</v>
      </c>
      <c r="AD448">
        <v>0</v>
      </c>
      <c r="AE448">
        <v>8128</v>
      </c>
      <c r="AF448">
        <v>0</v>
      </c>
      <c r="AG448">
        <v>0</v>
      </c>
      <c r="AH448">
        <v>0</v>
      </c>
      <c r="AI448">
        <v>8.27</v>
      </c>
      <c r="AJ448">
        <v>1</v>
      </c>
      <c r="AK448">
        <v>1</v>
      </c>
      <c r="AL448">
        <v>1</v>
      </c>
      <c r="AN448">
        <v>0</v>
      </c>
      <c r="AO448">
        <v>1</v>
      </c>
      <c r="AP448">
        <v>0</v>
      </c>
      <c r="AQ448">
        <v>0</v>
      </c>
      <c r="AR448">
        <v>0</v>
      </c>
      <c r="AS448" t="s">
        <v>3</v>
      </c>
      <c r="AT448">
        <v>1.04</v>
      </c>
      <c r="AU448" t="s">
        <v>3</v>
      </c>
      <c r="AV448">
        <v>0</v>
      </c>
      <c r="AW448">
        <v>2</v>
      </c>
      <c r="AX448">
        <v>48373044</v>
      </c>
      <c r="AY448">
        <v>1</v>
      </c>
      <c r="AZ448">
        <v>0</v>
      </c>
      <c r="BA448">
        <v>450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CX448">
        <f>Y448*Source!I184</f>
        <v>2.0383999999999999E-2</v>
      </c>
      <c r="CY448">
        <f>AA448</f>
        <v>67218.559999999998</v>
      </c>
      <c r="CZ448">
        <f>AE448</f>
        <v>8128</v>
      </c>
      <c r="DA448">
        <f>AI448</f>
        <v>8.27</v>
      </c>
      <c r="DB448">
        <v>0</v>
      </c>
    </row>
    <row r="449" spans="1:106">
      <c r="A449">
        <f>ROW(Source!A184)</f>
        <v>184</v>
      </c>
      <c r="B449">
        <v>48370320</v>
      </c>
      <c r="C449">
        <v>48373024</v>
      </c>
      <c r="D449">
        <v>37768012</v>
      </c>
      <c r="E449">
        <v>1</v>
      </c>
      <c r="F449">
        <v>1</v>
      </c>
      <c r="G449">
        <v>1</v>
      </c>
      <c r="H449">
        <v>3</v>
      </c>
      <c r="I449" t="s">
        <v>540</v>
      </c>
      <c r="J449" t="s">
        <v>541</v>
      </c>
      <c r="K449" t="s">
        <v>542</v>
      </c>
      <c r="L449">
        <v>1339</v>
      </c>
      <c r="N449">
        <v>1007</v>
      </c>
      <c r="O449" t="s">
        <v>543</v>
      </c>
      <c r="P449" t="s">
        <v>543</v>
      </c>
      <c r="Q449">
        <v>1</v>
      </c>
      <c r="W449">
        <v>0</v>
      </c>
      <c r="X449">
        <v>-1940385917</v>
      </c>
      <c r="Y449">
        <v>0.54</v>
      </c>
      <c r="AA449">
        <v>2804.76</v>
      </c>
      <c r="AB449">
        <v>0</v>
      </c>
      <c r="AC449">
        <v>0</v>
      </c>
      <c r="AD449">
        <v>0</v>
      </c>
      <c r="AE449">
        <v>318</v>
      </c>
      <c r="AF449">
        <v>0</v>
      </c>
      <c r="AG449">
        <v>0</v>
      </c>
      <c r="AH449">
        <v>0</v>
      </c>
      <c r="AI449">
        <v>8.82</v>
      </c>
      <c r="AJ449">
        <v>1</v>
      </c>
      <c r="AK449">
        <v>1</v>
      </c>
      <c r="AL449">
        <v>1</v>
      </c>
      <c r="AN449">
        <v>0</v>
      </c>
      <c r="AO449">
        <v>1</v>
      </c>
      <c r="AP449">
        <v>0</v>
      </c>
      <c r="AQ449">
        <v>0</v>
      </c>
      <c r="AR449">
        <v>0</v>
      </c>
      <c r="AS449" t="s">
        <v>3</v>
      </c>
      <c r="AT449">
        <v>0.54</v>
      </c>
      <c r="AU449" t="s">
        <v>3</v>
      </c>
      <c r="AV449">
        <v>0</v>
      </c>
      <c r="AW449">
        <v>2</v>
      </c>
      <c r="AX449">
        <v>48373045</v>
      </c>
      <c r="AY449">
        <v>1</v>
      </c>
      <c r="AZ449">
        <v>0</v>
      </c>
      <c r="BA449">
        <v>451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CX449">
        <f>Y449*Source!I184</f>
        <v>1.0584E-2</v>
      </c>
      <c r="CY449">
        <f>AA449</f>
        <v>2804.76</v>
      </c>
      <c r="CZ449">
        <f>AE449</f>
        <v>318</v>
      </c>
      <c r="DA449">
        <f>AI449</f>
        <v>8.82</v>
      </c>
      <c r="DB449">
        <v>0</v>
      </c>
    </row>
    <row r="450" spans="1:106">
      <c r="A450">
        <f>ROW(Source!A184)</f>
        <v>184</v>
      </c>
      <c r="B450">
        <v>48370320</v>
      </c>
      <c r="C450">
        <v>48373024</v>
      </c>
      <c r="D450">
        <v>37776723</v>
      </c>
      <c r="E450">
        <v>1</v>
      </c>
      <c r="F450">
        <v>1</v>
      </c>
      <c r="G450">
        <v>1</v>
      </c>
      <c r="H450">
        <v>3</v>
      </c>
      <c r="I450" t="s">
        <v>544</v>
      </c>
      <c r="J450" t="s">
        <v>545</v>
      </c>
      <c r="K450" t="s">
        <v>546</v>
      </c>
      <c r="L450">
        <v>1356</v>
      </c>
      <c r="N450">
        <v>1010</v>
      </c>
      <c r="O450" t="s">
        <v>547</v>
      </c>
      <c r="P450" t="s">
        <v>547</v>
      </c>
      <c r="Q450">
        <v>1000</v>
      </c>
      <c r="W450">
        <v>0</v>
      </c>
      <c r="X450">
        <v>-667780082</v>
      </c>
      <c r="Y450">
        <v>0.56999999999999995</v>
      </c>
      <c r="AA450">
        <v>9996.4599999999991</v>
      </c>
      <c r="AB450">
        <v>0</v>
      </c>
      <c r="AC450">
        <v>0</v>
      </c>
      <c r="AD450">
        <v>0</v>
      </c>
      <c r="AE450">
        <v>794</v>
      </c>
      <c r="AF450">
        <v>0</v>
      </c>
      <c r="AG450">
        <v>0</v>
      </c>
      <c r="AH450">
        <v>0</v>
      </c>
      <c r="AI450">
        <v>12.59</v>
      </c>
      <c r="AJ450">
        <v>1</v>
      </c>
      <c r="AK450">
        <v>1</v>
      </c>
      <c r="AL450">
        <v>1</v>
      </c>
      <c r="AN450">
        <v>0</v>
      </c>
      <c r="AO450">
        <v>1</v>
      </c>
      <c r="AP450">
        <v>0</v>
      </c>
      <c r="AQ450">
        <v>0</v>
      </c>
      <c r="AR450">
        <v>0</v>
      </c>
      <c r="AS450" t="s">
        <v>3</v>
      </c>
      <c r="AT450">
        <v>0.56999999999999995</v>
      </c>
      <c r="AU450" t="s">
        <v>3</v>
      </c>
      <c r="AV450">
        <v>0</v>
      </c>
      <c r="AW450">
        <v>2</v>
      </c>
      <c r="AX450">
        <v>48373046</v>
      </c>
      <c r="AY450">
        <v>1</v>
      </c>
      <c r="AZ450">
        <v>0</v>
      </c>
      <c r="BA450">
        <v>452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CX450">
        <f>Y450*Source!I184</f>
        <v>1.1171999999999998E-2</v>
      </c>
      <c r="CY450">
        <f>AA450</f>
        <v>9996.4599999999991</v>
      </c>
      <c r="CZ450">
        <f>AE450</f>
        <v>794</v>
      </c>
      <c r="DA450">
        <f>AI450</f>
        <v>12.59</v>
      </c>
      <c r="DB450">
        <v>0</v>
      </c>
    </row>
    <row r="451" spans="1:106">
      <c r="A451">
        <f>ROW(Source!A185)</f>
        <v>185</v>
      </c>
      <c r="B451">
        <v>48370320</v>
      </c>
      <c r="C451">
        <v>48373210</v>
      </c>
      <c r="D451">
        <v>23131263</v>
      </c>
      <c r="E451">
        <v>1</v>
      </c>
      <c r="F451">
        <v>1</v>
      </c>
      <c r="G451">
        <v>1</v>
      </c>
      <c r="H451">
        <v>1</v>
      </c>
      <c r="I451" t="s">
        <v>799</v>
      </c>
      <c r="J451" t="s">
        <v>3</v>
      </c>
      <c r="K451" t="s">
        <v>800</v>
      </c>
      <c r="L451">
        <v>1369</v>
      </c>
      <c r="N451">
        <v>1013</v>
      </c>
      <c r="O451" t="s">
        <v>510</v>
      </c>
      <c r="P451" t="s">
        <v>510</v>
      </c>
      <c r="Q451">
        <v>1</v>
      </c>
      <c r="W451">
        <v>0</v>
      </c>
      <c r="X451">
        <v>920778480</v>
      </c>
      <c r="Y451">
        <v>14.63</v>
      </c>
      <c r="AA451">
        <v>0</v>
      </c>
      <c r="AB451">
        <v>0</v>
      </c>
      <c r="AC451">
        <v>0</v>
      </c>
      <c r="AD451">
        <v>7.63</v>
      </c>
      <c r="AE451">
        <v>0</v>
      </c>
      <c r="AF451">
        <v>0</v>
      </c>
      <c r="AG451">
        <v>0</v>
      </c>
      <c r="AH451">
        <v>7.63</v>
      </c>
      <c r="AI451">
        <v>1</v>
      </c>
      <c r="AJ451">
        <v>1</v>
      </c>
      <c r="AK451">
        <v>1</v>
      </c>
      <c r="AL451">
        <v>1</v>
      </c>
      <c r="AN451">
        <v>0</v>
      </c>
      <c r="AO451">
        <v>1</v>
      </c>
      <c r="AP451">
        <v>0</v>
      </c>
      <c r="AQ451">
        <v>0</v>
      </c>
      <c r="AR451">
        <v>0</v>
      </c>
      <c r="AS451" t="s">
        <v>3</v>
      </c>
      <c r="AT451">
        <v>14.63</v>
      </c>
      <c r="AU451" t="s">
        <v>3</v>
      </c>
      <c r="AV451">
        <v>1</v>
      </c>
      <c r="AW451">
        <v>2</v>
      </c>
      <c r="AX451">
        <v>48373211</v>
      </c>
      <c r="AY451">
        <v>1</v>
      </c>
      <c r="AZ451">
        <v>0</v>
      </c>
      <c r="BA451">
        <v>453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CX451">
        <f>Y451*Source!I185</f>
        <v>4.3890000000000002</v>
      </c>
      <c r="CY451">
        <f>AD451</f>
        <v>7.63</v>
      </c>
      <c r="CZ451">
        <f>AH451</f>
        <v>7.63</v>
      </c>
      <c r="DA451">
        <f>AL451</f>
        <v>1</v>
      </c>
      <c r="DB451">
        <v>0</v>
      </c>
    </row>
    <row r="452" spans="1:106">
      <c r="A452">
        <f>ROW(Source!A185)</f>
        <v>185</v>
      </c>
      <c r="B452">
        <v>48370320</v>
      </c>
      <c r="C452">
        <v>48373210</v>
      </c>
      <c r="D452">
        <v>37802543</v>
      </c>
      <c r="E452">
        <v>1</v>
      </c>
      <c r="F452">
        <v>1</v>
      </c>
      <c r="G452">
        <v>1</v>
      </c>
      <c r="H452">
        <v>2</v>
      </c>
      <c r="I452" t="s">
        <v>934</v>
      </c>
      <c r="J452" t="s">
        <v>935</v>
      </c>
      <c r="K452" t="s">
        <v>936</v>
      </c>
      <c r="L452">
        <v>1368</v>
      </c>
      <c r="N452">
        <v>1011</v>
      </c>
      <c r="O452" t="s">
        <v>516</v>
      </c>
      <c r="P452" t="s">
        <v>516</v>
      </c>
      <c r="Q452">
        <v>1</v>
      </c>
      <c r="W452">
        <v>0</v>
      </c>
      <c r="X452">
        <v>1846615105</v>
      </c>
      <c r="Y452">
        <v>0.32</v>
      </c>
      <c r="AA452">
        <v>0</v>
      </c>
      <c r="AB452">
        <v>28.01</v>
      </c>
      <c r="AC452">
        <v>0</v>
      </c>
      <c r="AD452">
        <v>0</v>
      </c>
      <c r="AE452">
        <v>0</v>
      </c>
      <c r="AF452">
        <v>6.9</v>
      </c>
      <c r="AG452">
        <v>0</v>
      </c>
      <c r="AH452">
        <v>0</v>
      </c>
      <c r="AI452">
        <v>1</v>
      </c>
      <c r="AJ452">
        <v>4.0599999999999996</v>
      </c>
      <c r="AK452">
        <v>20.88</v>
      </c>
      <c r="AL452">
        <v>1</v>
      </c>
      <c r="AN452">
        <v>0</v>
      </c>
      <c r="AO452">
        <v>1</v>
      </c>
      <c r="AP452">
        <v>0</v>
      </c>
      <c r="AQ452">
        <v>0</v>
      </c>
      <c r="AR452">
        <v>0</v>
      </c>
      <c r="AS452" t="s">
        <v>3</v>
      </c>
      <c r="AT452">
        <v>0.32</v>
      </c>
      <c r="AU452" t="s">
        <v>3</v>
      </c>
      <c r="AV452">
        <v>0</v>
      </c>
      <c r="AW452">
        <v>2</v>
      </c>
      <c r="AX452">
        <v>48373212</v>
      </c>
      <c r="AY452">
        <v>1</v>
      </c>
      <c r="AZ452">
        <v>0</v>
      </c>
      <c r="BA452">
        <v>454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CX452">
        <f>Y452*Source!I185</f>
        <v>9.6000000000000002E-2</v>
      </c>
      <c r="CY452">
        <f>AB452</f>
        <v>28.01</v>
      </c>
      <c r="CZ452">
        <f>AF452</f>
        <v>6.9</v>
      </c>
      <c r="DA452">
        <f>AJ452</f>
        <v>4.0599999999999996</v>
      </c>
      <c r="DB452">
        <v>0</v>
      </c>
    </row>
    <row r="453" spans="1:106">
      <c r="A453">
        <f>ROW(Source!A185)</f>
        <v>185</v>
      </c>
      <c r="B453">
        <v>48370320</v>
      </c>
      <c r="C453">
        <v>48373210</v>
      </c>
      <c r="D453">
        <v>37768012</v>
      </c>
      <c r="E453">
        <v>1</v>
      </c>
      <c r="F453">
        <v>1</v>
      </c>
      <c r="G453">
        <v>1</v>
      </c>
      <c r="H453">
        <v>3</v>
      </c>
      <c r="I453" t="s">
        <v>540</v>
      </c>
      <c r="J453" t="s">
        <v>541</v>
      </c>
      <c r="K453" t="s">
        <v>542</v>
      </c>
      <c r="L453">
        <v>1339</v>
      </c>
      <c r="N453">
        <v>1007</v>
      </c>
      <c r="O453" t="s">
        <v>543</v>
      </c>
      <c r="P453" t="s">
        <v>543</v>
      </c>
      <c r="Q453">
        <v>1</v>
      </c>
      <c r="W453">
        <v>0</v>
      </c>
      <c r="X453">
        <v>-1940385917</v>
      </c>
      <c r="Y453">
        <v>0.24</v>
      </c>
      <c r="AA453">
        <v>2804.76</v>
      </c>
      <c r="AB453">
        <v>0</v>
      </c>
      <c r="AC453">
        <v>0</v>
      </c>
      <c r="AD453">
        <v>0</v>
      </c>
      <c r="AE453">
        <v>318</v>
      </c>
      <c r="AF453">
        <v>0</v>
      </c>
      <c r="AG453">
        <v>0</v>
      </c>
      <c r="AH453">
        <v>0</v>
      </c>
      <c r="AI453">
        <v>8.82</v>
      </c>
      <c r="AJ453">
        <v>1</v>
      </c>
      <c r="AK453">
        <v>1</v>
      </c>
      <c r="AL453">
        <v>1</v>
      </c>
      <c r="AN453">
        <v>0</v>
      </c>
      <c r="AO453">
        <v>1</v>
      </c>
      <c r="AP453">
        <v>0</v>
      </c>
      <c r="AQ453">
        <v>0</v>
      </c>
      <c r="AR453">
        <v>0</v>
      </c>
      <c r="AS453" t="s">
        <v>3</v>
      </c>
      <c r="AT453">
        <v>0.24</v>
      </c>
      <c r="AU453" t="s">
        <v>3</v>
      </c>
      <c r="AV453">
        <v>0</v>
      </c>
      <c r="AW453">
        <v>2</v>
      </c>
      <c r="AX453">
        <v>48373213</v>
      </c>
      <c r="AY453">
        <v>1</v>
      </c>
      <c r="AZ453">
        <v>0</v>
      </c>
      <c r="BA453">
        <v>455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CX453">
        <f>Y453*Source!I185</f>
        <v>7.1999999999999995E-2</v>
      </c>
      <c r="CY453">
        <f>AA453</f>
        <v>2804.76</v>
      </c>
      <c r="CZ453">
        <f>AE453</f>
        <v>318</v>
      </c>
      <c r="DA453">
        <f>AI453</f>
        <v>8.82</v>
      </c>
      <c r="DB453">
        <v>0</v>
      </c>
    </row>
    <row r="454" spans="1:106">
      <c r="A454">
        <f>ROW(Source!A185)</f>
        <v>185</v>
      </c>
      <c r="B454">
        <v>48370320</v>
      </c>
      <c r="C454">
        <v>48373210</v>
      </c>
      <c r="D454">
        <v>37776723</v>
      </c>
      <c r="E454">
        <v>1</v>
      </c>
      <c r="F454">
        <v>1</v>
      </c>
      <c r="G454">
        <v>1</v>
      </c>
      <c r="H454">
        <v>3</v>
      </c>
      <c r="I454" t="s">
        <v>544</v>
      </c>
      <c r="J454" t="s">
        <v>545</v>
      </c>
      <c r="K454" t="s">
        <v>546</v>
      </c>
      <c r="L454">
        <v>1356</v>
      </c>
      <c r="N454">
        <v>1010</v>
      </c>
      <c r="O454" t="s">
        <v>547</v>
      </c>
      <c r="P454" t="s">
        <v>547</v>
      </c>
      <c r="Q454">
        <v>1000</v>
      </c>
      <c r="W454">
        <v>0</v>
      </c>
      <c r="X454">
        <v>-667780082</v>
      </c>
      <c r="Y454">
        <v>0.4</v>
      </c>
      <c r="AA454">
        <v>9996.4599999999991</v>
      </c>
      <c r="AB454">
        <v>0</v>
      </c>
      <c r="AC454">
        <v>0</v>
      </c>
      <c r="AD454">
        <v>0</v>
      </c>
      <c r="AE454">
        <v>794</v>
      </c>
      <c r="AF454">
        <v>0</v>
      </c>
      <c r="AG454">
        <v>0</v>
      </c>
      <c r="AH454">
        <v>0</v>
      </c>
      <c r="AI454">
        <v>12.59</v>
      </c>
      <c r="AJ454">
        <v>1</v>
      </c>
      <c r="AK454">
        <v>1</v>
      </c>
      <c r="AL454">
        <v>1</v>
      </c>
      <c r="AN454">
        <v>0</v>
      </c>
      <c r="AO454">
        <v>1</v>
      </c>
      <c r="AP454">
        <v>0</v>
      </c>
      <c r="AQ454">
        <v>0</v>
      </c>
      <c r="AR454">
        <v>0</v>
      </c>
      <c r="AS454" t="s">
        <v>3</v>
      </c>
      <c r="AT454">
        <v>0.4</v>
      </c>
      <c r="AU454" t="s">
        <v>3</v>
      </c>
      <c r="AV454">
        <v>0</v>
      </c>
      <c r="AW454">
        <v>2</v>
      </c>
      <c r="AX454">
        <v>48373214</v>
      </c>
      <c r="AY454">
        <v>1</v>
      </c>
      <c r="AZ454">
        <v>0</v>
      </c>
      <c r="BA454">
        <v>456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CX454">
        <f>Y454*Source!I185</f>
        <v>0.12</v>
      </c>
      <c r="CY454">
        <f>AA454</f>
        <v>9996.4599999999991</v>
      </c>
      <c r="CZ454">
        <f>AE454</f>
        <v>794</v>
      </c>
      <c r="DA454">
        <f>AI454</f>
        <v>12.59</v>
      </c>
      <c r="DB454">
        <v>0</v>
      </c>
    </row>
    <row r="455" spans="1:106">
      <c r="A455">
        <f>ROW(Source!A186)</f>
        <v>186</v>
      </c>
      <c r="B455">
        <v>48370320</v>
      </c>
      <c r="C455">
        <v>48373313</v>
      </c>
      <c r="D455">
        <v>23129438</v>
      </c>
      <c r="E455">
        <v>1</v>
      </c>
      <c r="F455">
        <v>1</v>
      </c>
      <c r="G455">
        <v>1</v>
      </c>
      <c r="H455">
        <v>1</v>
      </c>
      <c r="I455" t="s">
        <v>685</v>
      </c>
      <c r="J455" t="s">
        <v>3</v>
      </c>
      <c r="K455" t="s">
        <v>686</v>
      </c>
      <c r="L455">
        <v>1369</v>
      </c>
      <c r="N455">
        <v>1013</v>
      </c>
      <c r="O455" t="s">
        <v>510</v>
      </c>
      <c r="P455" t="s">
        <v>510</v>
      </c>
      <c r="Q455">
        <v>1</v>
      </c>
      <c r="W455">
        <v>0</v>
      </c>
      <c r="X455">
        <v>-2139336833</v>
      </c>
      <c r="Y455">
        <v>98.715999999999994</v>
      </c>
      <c r="AA455">
        <v>0</v>
      </c>
      <c r="AB455">
        <v>0</v>
      </c>
      <c r="AC455">
        <v>0</v>
      </c>
      <c r="AD455">
        <v>8.7899999999999991</v>
      </c>
      <c r="AE455">
        <v>0</v>
      </c>
      <c r="AF455">
        <v>0</v>
      </c>
      <c r="AG455">
        <v>0</v>
      </c>
      <c r="AH455">
        <v>8.7899999999999991</v>
      </c>
      <c r="AI455">
        <v>1</v>
      </c>
      <c r="AJ455">
        <v>1</v>
      </c>
      <c r="AK455">
        <v>1</v>
      </c>
      <c r="AL455">
        <v>1</v>
      </c>
      <c r="AN455">
        <v>0</v>
      </c>
      <c r="AO455">
        <v>1</v>
      </c>
      <c r="AP455">
        <v>1</v>
      </c>
      <c r="AQ455">
        <v>0</v>
      </c>
      <c r="AR455">
        <v>0</v>
      </c>
      <c r="AS455" t="s">
        <v>3</v>
      </c>
      <c r="AT455">
        <v>85.84</v>
      </c>
      <c r="AU455" t="s">
        <v>161</v>
      </c>
      <c r="AV455">
        <v>1</v>
      </c>
      <c r="AW455">
        <v>2</v>
      </c>
      <c r="AX455">
        <v>48373314</v>
      </c>
      <c r="AY455">
        <v>1</v>
      </c>
      <c r="AZ455">
        <v>0</v>
      </c>
      <c r="BA455">
        <v>457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CX455">
        <f>Y455*Source!I186</f>
        <v>0.59229599999999993</v>
      </c>
      <c r="CY455">
        <f>AD455</f>
        <v>8.7899999999999991</v>
      </c>
      <c r="CZ455">
        <f>AH455</f>
        <v>8.7899999999999991</v>
      </c>
      <c r="DA455">
        <f>AL455</f>
        <v>1</v>
      </c>
      <c r="DB455">
        <v>0</v>
      </c>
    </row>
    <row r="456" spans="1:106">
      <c r="A456">
        <f>ROW(Source!A186)</f>
        <v>186</v>
      </c>
      <c r="B456">
        <v>48370320</v>
      </c>
      <c r="C456">
        <v>48373313</v>
      </c>
      <c r="D456">
        <v>121548</v>
      </c>
      <c r="E456">
        <v>1</v>
      </c>
      <c r="F456">
        <v>1</v>
      </c>
      <c r="G456">
        <v>1</v>
      </c>
      <c r="H456">
        <v>1</v>
      </c>
      <c r="I456" t="s">
        <v>24</v>
      </c>
      <c r="J456" t="s">
        <v>3</v>
      </c>
      <c r="K456" t="s">
        <v>511</v>
      </c>
      <c r="L456">
        <v>608254</v>
      </c>
      <c r="N456">
        <v>1013</v>
      </c>
      <c r="O456" t="s">
        <v>512</v>
      </c>
      <c r="P456" t="s">
        <v>512</v>
      </c>
      <c r="Q456">
        <v>1</v>
      </c>
      <c r="W456">
        <v>0</v>
      </c>
      <c r="X456">
        <v>-185737400</v>
      </c>
      <c r="Y456">
        <v>7.8624999999999998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1</v>
      </c>
      <c r="AJ456">
        <v>1</v>
      </c>
      <c r="AK456">
        <v>1</v>
      </c>
      <c r="AL456">
        <v>1</v>
      </c>
      <c r="AN456">
        <v>0</v>
      </c>
      <c r="AO456">
        <v>1</v>
      </c>
      <c r="AP456">
        <v>1</v>
      </c>
      <c r="AQ456">
        <v>0</v>
      </c>
      <c r="AR456">
        <v>0</v>
      </c>
      <c r="AS456" t="s">
        <v>3</v>
      </c>
      <c r="AT456">
        <v>6.29</v>
      </c>
      <c r="AU456" t="s">
        <v>160</v>
      </c>
      <c r="AV456">
        <v>2</v>
      </c>
      <c r="AW456">
        <v>2</v>
      </c>
      <c r="AX456">
        <v>48373315</v>
      </c>
      <c r="AY456">
        <v>1</v>
      </c>
      <c r="AZ456">
        <v>0</v>
      </c>
      <c r="BA456">
        <v>458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CX456">
        <f>Y456*Source!I186</f>
        <v>4.7175000000000002E-2</v>
      </c>
      <c r="CY456">
        <f>AD456</f>
        <v>0</v>
      </c>
      <c r="CZ456">
        <f>AH456</f>
        <v>0</v>
      </c>
      <c r="DA456">
        <f>AL456</f>
        <v>1</v>
      </c>
      <c r="DB456">
        <v>0</v>
      </c>
    </row>
    <row r="457" spans="1:106">
      <c r="A457">
        <f>ROW(Source!A186)</f>
        <v>186</v>
      </c>
      <c r="B457">
        <v>48370320</v>
      </c>
      <c r="C457">
        <v>48373313</v>
      </c>
      <c r="D457">
        <v>37802578</v>
      </c>
      <c r="E457">
        <v>1</v>
      </c>
      <c r="F457">
        <v>1</v>
      </c>
      <c r="G457">
        <v>1</v>
      </c>
      <c r="H457">
        <v>2</v>
      </c>
      <c r="I457" t="s">
        <v>550</v>
      </c>
      <c r="J457" t="s">
        <v>551</v>
      </c>
      <c r="K457" t="s">
        <v>552</v>
      </c>
      <c r="L457">
        <v>1368</v>
      </c>
      <c r="N457">
        <v>1011</v>
      </c>
      <c r="O457" t="s">
        <v>516</v>
      </c>
      <c r="P457" t="s">
        <v>516</v>
      </c>
      <c r="Q457">
        <v>1</v>
      </c>
      <c r="W457">
        <v>0</v>
      </c>
      <c r="X457">
        <v>1753337916</v>
      </c>
      <c r="Y457">
        <v>1.05</v>
      </c>
      <c r="AA457">
        <v>0</v>
      </c>
      <c r="AB457">
        <v>327.64</v>
      </c>
      <c r="AC457">
        <v>252.65</v>
      </c>
      <c r="AD457">
        <v>0</v>
      </c>
      <c r="AE457">
        <v>0</v>
      </c>
      <c r="AF457">
        <v>32.090000000000003</v>
      </c>
      <c r="AG457">
        <v>12.1</v>
      </c>
      <c r="AH457">
        <v>0</v>
      </c>
      <c r="AI457">
        <v>1</v>
      </c>
      <c r="AJ457">
        <v>10.210000000000001</v>
      </c>
      <c r="AK457">
        <v>20.88</v>
      </c>
      <c r="AL457">
        <v>1</v>
      </c>
      <c r="AN457">
        <v>0</v>
      </c>
      <c r="AO457">
        <v>1</v>
      </c>
      <c r="AP457">
        <v>1</v>
      </c>
      <c r="AQ457">
        <v>0</v>
      </c>
      <c r="AR457">
        <v>0</v>
      </c>
      <c r="AS457" t="s">
        <v>3</v>
      </c>
      <c r="AT457">
        <v>0.84</v>
      </c>
      <c r="AU457" t="s">
        <v>160</v>
      </c>
      <c r="AV457">
        <v>0</v>
      </c>
      <c r="AW457">
        <v>2</v>
      </c>
      <c r="AX457">
        <v>48373316</v>
      </c>
      <c r="AY457">
        <v>1</v>
      </c>
      <c r="AZ457">
        <v>0</v>
      </c>
      <c r="BA457">
        <v>459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CX457">
        <f>Y457*Source!I186</f>
        <v>6.3E-3</v>
      </c>
      <c r="CY457">
        <f>AB457</f>
        <v>327.64</v>
      </c>
      <c r="CZ457">
        <f>AF457</f>
        <v>32.090000000000003</v>
      </c>
      <c r="DA457">
        <f>AJ457</f>
        <v>10.210000000000001</v>
      </c>
      <c r="DB457">
        <v>0</v>
      </c>
    </row>
    <row r="458" spans="1:106">
      <c r="A458">
        <f>ROW(Source!A186)</f>
        <v>186</v>
      </c>
      <c r="B458">
        <v>48370320</v>
      </c>
      <c r="C458">
        <v>48373313</v>
      </c>
      <c r="D458">
        <v>37803004</v>
      </c>
      <c r="E458">
        <v>1</v>
      </c>
      <c r="F458">
        <v>1</v>
      </c>
      <c r="G458">
        <v>1</v>
      </c>
      <c r="H458">
        <v>2</v>
      </c>
      <c r="I458" t="s">
        <v>633</v>
      </c>
      <c r="J458" t="s">
        <v>634</v>
      </c>
      <c r="K458" t="s">
        <v>635</v>
      </c>
      <c r="L458">
        <v>1368</v>
      </c>
      <c r="N458">
        <v>1011</v>
      </c>
      <c r="O458" t="s">
        <v>516</v>
      </c>
      <c r="P458" t="s">
        <v>516</v>
      </c>
      <c r="Q458">
        <v>1</v>
      </c>
      <c r="W458">
        <v>0</v>
      </c>
      <c r="X458">
        <v>-58296478</v>
      </c>
      <c r="Y458">
        <v>6.8125</v>
      </c>
      <c r="AA458">
        <v>0</v>
      </c>
      <c r="AB458">
        <v>231.58</v>
      </c>
      <c r="AC458">
        <v>167.04</v>
      </c>
      <c r="AD458">
        <v>0</v>
      </c>
      <c r="AE458">
        <v>0</v>
      </c>
      <c r="AF458">
        <v>14.75</v>
      </c>
      <c r="AG458">
        <v>8</v>
      </c>
      <c r="AH458">
        <v>0</v>
      </c>
      <c r="AI458">
        <v>1</v>
      </c>
      <c r="AJ458">
        <v>15.7</v>
      </c>
      <c r="AK458">
        <v>20.88</v>
      </c>
      <c r="AL458">
        <v>1</v>
      </c>
      <c r="AN458">
        <v>0</v>
      </c>
      <c r="AO458">
        <v>1</v>
      </c>
      <c r="AP458">
        <v>1</v>
      </c>
      <c r="AQ458">
        <v>0</v>
      </c>
      <c r="AR458">
        <v>0</v>
      </c>
      <c r="AS458" t="s">
        <v>3</v>
      </c>
      <c r="AT458">
        <v>5.45</v>
      </c>
      <c r="AU458" t="s">
        <v>160</v>
      </c>
      <c r="AV458">
        <v>0</v>
      </c>
      <c r="AW458">
        <v>2</v>
      </c>
      <c r="AX458">
        <v>48373317</v>
      </c>
      <c r="AY458">
        <v>1</v>
      </c>
      <c r="AZ458">
        <v>0</v>
      </c>
      <c r="BA458">
        <v>460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CX458">
        <f>Y458*Source!I186</f>
        <v>4.0875000000000002E-2</v>
      </c>
      <c r="CY458">
        <f>AB458</f>
        <v>231.58</v>
      </c>
      <c r="CZ458">
        <f>AF458</f>
        <v>14.75</v>
      </c>
      <c r="DA458">
        <f>AJ458</f>
        <v>15.7</v>
      </c>
      <c r="DB458">
        <v>0</v>
      </c>
    </row>
    <row r="459" spans="1:106">
      <c r="A459">
        <f>ROW(Source!A186)</f>
        <v>186</v>
      </c>
      <c r="B459">
        <v>48370320</v>
      </c>
      <c r="C459">
        <v>48373313</v>
      </c>
      <c r="D459">
        <v>37736937</v>
      </c>
      <c r="E459">
        <v>1</v>
      </c>
      <c r="F459">
        <v>1</v>
      </c>
      <c r="G459">
        <v>1</v>
      </c>
      <c r="H459">
        <v>3</v>
      </c>
      <c r="I459" t="s">
        <v>636</v>
      </c>
      <c r="J459" t="s">
        <v>637</v>
      </c>
      <c r="K459" t="s">
        <v>638</v>
      </c>
      <c r="L459">
        <v>1348</v>
      </c>
      <c r="N459">
        <v>1009</v>
      </c>
      <c r="O459" t="s">
        <v>536</v>
      </c>
      <c r="P459" t="s">
        <v>536</v>
      </c>
      <c r="Q459">
        <v>1000</v>
      </c>
      <c r="W459">
        <v>0</v>
      </c>
      <c r="X459">
        <v>-844523691</v>
      </c>
      <c r="Y459">
        <v>1.2E-4</v>
      </c>
      <c r="AA459">
        <v>47504.07</v>
      </c>
      <c r="AB459">
        <v>0</v>
      </c>
      <c r="AC459">
        <v>0</v>
      </c>
      <c r="AD459">
        <v>0</v>
      </c>
      <c r="AE459">
        <v>9153</v>
      </c>
      <c r="AF459">
        <v>0</v>
      </c>
      <c r="AG459">
        <v>0</v>
      </c>
      <c r="AH459">
        <v>0</v>
      </c>
      <c r="AI459">
        <v>5.19</v>
      </c>
      <c r="AJ459">
        <v>1</v>
      </c>
      <c r="AK459">
        <v>1</v>
      </c>
      <c r="AL459">
        <v>1</v>
      </c>
      <c r="AN459">
        <v>0</v>
      </c>
      <c r="AO459">
        <v>1</v>
      </c>
      <c r="AP459">
        <v>0</v>
      </c>
      <c r="AQ459">
        <v>0</v>
      </c>
      <c r="AR459">
        <v>0</v>
      </c>
      <c r="AS459" t="s">
        <v>3</v>
      </c>
      <c r="AT459">
        <v>1.2E-4</v>
      </c>
      <c r="AU459" t="s">
        <v>3</v>
      </c>
      <c r="AV459">
        <v>0</v>
      </c>
      <c r="AW459">
        <v>2</v>
      </c>
      <c r="AX459">
        <v>48373318</v>
      </c>
      <c r="AY459">
        <v>1</v>
      </c>
      <c r="AZ459">
        <v>0</v>
      </c>
      <c r="BA459">
        <v>461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CX459">
        <f>Y459*Source!I186</f>
        <v>7.1999999999999999E-7</v>
      </c>
      <c r="CY459">
        <f>AA459</f>
        <v>47504.07</v>
      </c>
      <c r="CZ459">
        <f>AE459</f>
        <v>9153</v>
      </c>
      <c r="DA459">
        <f>AI459</f>
        <v>5.19</v>
      </c>
      <c r="DB459">
        <v>0</v>
      </c>
    </row>
    <row r="460" spans="1:106">
      <c r="A460">
        <f>ROW(Source!A186)</f>
        <v>186</v>
      </c>
      <c r="B460">
        <v>48370320</v>
      </c>
      <c r="C460">
        <v>48373313</v>
      </c>
      <c r="D460">
        <v>37735510</v>
      </c>
      <c r="E460">
        <v>1</v>
      </c>
      <c r="F460">
        <v>1</v>
      </c>
      <c r="G460">
        <v>1</v>
      </c>
      <c r="H460">
        <v>3</v>
      </c>
      <c r="I460" t="s">
        <v>639</v>
      </c>
      <c r="J460" t="s">
        <v>640</v>
      </c>
      <c r="K460" t="s">
        <v>641</v>
      </c>
      <c r="L460">
        <v>1327</v>
      </c>
      <c r="N460">
        <v>1005</v>
      </c>
      <c r="O460" t="s">
        <v>189</v>
      </c>
      <c r="P460" t="s">
        <v>189</v>
      </c>
      <c r="Q460">
        <v>1</v>
      </c>
      <c r="W460">
        <v>0</v>
      </c>
      <c r="X460">
        <v>1429608044</v>
      </c>
      <c r="Y460">
        <v>5.54</v>
      </c>
      <c r="AA460">
        <v>327.42</v>
      </c>
      <c r="AB460">
        <v>0</v>
      </c>
      <c r="AC460">
        <v>0</v>
      </c>
      <c r="AD460">
        <v>0</v>
      </c>
      <c r="AE460">
        <v>28.25</v>
      </c>
      <c r="AF460">
        <v>0</v>
      </c>
      <c r="AG460">
        <v>0</v>
      </c>
      <c r="AH460">
        <v>0</v>
      </c>
      <c r="AI460">
        <v>11.59</v>
      </c>
      <c r="AJ460">
        <v>1</v>
      </c>
      <c r="AK460">
        <v>1</v>
      </c>
      <c r="AL460">
        <v>1</v>
      </c>
      <c r="AN460">
        <v>0</v>
      </c>
      <c r="AO460">
        <v>1</v>
      </c>
      <c r="AP460">
        <v>0</v>
      </c>
      <c r="AQ460">
        <v>0</v>
      </c>
      <c r="AR460">
        <v>0</v>
      </c>
      <c r="AS460" t="s">
        <v>3</v>
      </c>
      <c r="AT460">
        <v>5.54</v>
      </c>
      <c r="AU460" t="s">
        <v>3</v>
      </c>
      <c r="AV460">
        <v>0</v>
      </c>
      <c r="AW460">
        <v>2</v>
      </c>
      <c r="AX460">
        <v>48373319</v>
      </c>
      <c r="AY460">
        <v>1</v>
      </c>
      <c r="AZ460">
        <v>0</v>
      </c>
      <c r="BA460">
        <v>462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CX460">
        <f>Y460*Source!I186</f>
        <v>3.3239999999999999E-2</v>
      </c>
      <c r="CY460">
        <f>AA460</f>
        <v>327.42</v>
      </c>
      <c r="CZ460">
        <f>AE460</f>
        <v>28.25</v>
      </c>
      <c r="DA460">
        <f>AI460</f>
        <v>11.59</v>
      </c>
      <c r="DB460">
        <v>0</v>
      </c>
    </row>
    <row r="461" spans="1:106">
      <c r="A461">
        <f>ROW(Source!A186)</f>
        <v>186</v>
      </c>
      <c r="B461">
        <v>48370320</v>
      </c>
      <c r="C461">
        <v>48373313</v>
      </c>
      <c r="D461">
        <v>37768066</v>
      </c>
      <c r="E461">
        <v>1</v>
      </c>
      <c r="F461">
        <v>1</v>
      </c>
      <c r="G461">
        <v>1</v>
      </c>
      <c r="H461">
        <v>3</v>
      </c>
      <c r="I461" t="s">
        <v>642</v>
      </c>
      <c r="J461" t="s">
        <v>643</v>
      </c>
      <c r="K461" t="s">
        <v>644</v>
      </c>
      <c r="L461">
        <v>1339</v>
      </c>
      <c r="N461">
        <v>1007</v>
      </c>
      <c r="O461" t="s">
        <v>543</v>
      </c>
      <c r="P461" t="s">
        <v>543</v>
      </c>
      <c r="Q461">
        <v>1</v>
      </c>
      <c r="W461">
        <v>0</v>
      </c>
      <c r="X461">
        <v>-410080015</v>
      </c>
      <c r="Y461">
        <v>1.87</v>
      </c>
      <c r="AA461">
        <v>2960.58</v>
      </c>
      <c r="AB461">
        <v>0</v>
      </c>
      <c r="AC461">
        <v>0</v>
      </c>
      <c r="AD461">
        <v>0</v>
      </c>
      <c r="AE461">
        <v>399</v>
      </c>
      <c r="AF461">
        <v>0</v>
      </c>
      <c r="AG461">
        <v>0</v>
      </c>
      <c r="AH461">
        <v>0</v>
      </c>
      <c r="AI461">
        <v>7.42</v>
      </c>
      <c r="AJ461">
        <v>1</v>
      </c>
      <c r="AK461">
        <v>1</v>
      </c>
      <c r="AL461">
        <v>1</v>
      </c>
      <c r="AN461">
        <v>0</v>
      </c>
      <c r="AO461">
        <v>1</v>
      </c>
      <c r="AP461">
        <v>0</v>
      </c>
      <c r="AQ461">
        <v>0</v>
      </c>
      <c r="AR461">
        <v>0</v>
      </c>
      <c r="AS461" t="s">
        <v>3</v>
      </c>
      <c r="AT461">
        <v>1.87</v>
      </c>
      <c r="AU461" t="s">
        <v>3</v>
      </c>
      <c r="AV461">
        <v>0</v>
      </c>
      <c r="AW461">
        <v>2</v>
      </c>
      <c r="AX461">
        <v>48373320</v>
      </c>
      <c r="AY461">
        <v>1</v>
      </c>
      <c r="AZ461">
        <v>0</v>
      </c>
      <c r="BA461">
        <v>463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CX461">
        <f>Y461*Source!I186</f>
        <v>1.1220000000000001E-2</v>
      </c>
      <c r="CY461">
        <f>AA461</f>
        <v>2960.58</v>
      </c>
      <c r="CZ461">
        <f>AE461</f>
        <v>399</v>
      </c>
      <c r="DA461">
        <f>AI461</f>
        <v>7.42</v>
      </c>
      <c r="DB461">
        <v>0</v>
      </c>
    </row>
    <row r="462" spans="1:106">
      <c r="A462">
        <f>ROW(Source!A186)</f>
        <v>186</v>
      </c>
      <c r="B462">
        <v>48370320</v>
      </c>
      <c r="C462">
        <v>48373313</v>
      </c>
      <c r="D462">
        <v>37777026</v>
      </c>
      <c r="E462">
        <v>1</v>
      </c>
      <c r="F462">
        <v>1</v>
      </c>
      <c r="G462">
        <v>1</v>
      </c>
      <c r="H462">
        <v>3</v>
      </c>
      <c r="I462" t="s">
        <v>645</v>
      </c>
      <c r="J462" t="s">
        <v>646</v>
      </c>
      <c r="K462" t="s">
        <v>647</v>
      </c>
      <c r="L462">
        <v>1348</v>
      </c>
      <c r="N462">
        <v>1009</v>
      </c>
      <c r="O462" t="s">
        <v>536</v>
      </c>
      <c r="P462" t="s">
        <v>536</v>
      </c>
      <c r="Q462">
        <v>1000</v>
      </c>
      <c r="W462">
        <v>0</v>
      </c>
      <c r="X462">
        <v>-1829182015</v>
      </c>
      <c r="Y462">
        <v>6.0000000000000001E-3</v>
      </c>
      <c r="AA462">
        <v>4138.99</v>
      </c>
      <c r="AB462">
        <v>0</v>
      </c>
      <c r="AC462">
        <v>0</v>
      </c>
      <c r="AD462">
        <v>0</v>
      </c>
      <c r="AE462">
        <v>729.98</v>
      </c>
      <c r="AF462">
        <v>0</v>
      </c>
      <c r="AG462">
        <v>0</v>
      </c>
      <c r="AH462">
        <v>0</v>
      </c>
      <c r="AI462">
        <v>5.67</v>
      </c>
      <c r="AJ462">
        <v>1</v>
      </c>
      <c r="AK462">
        <v>1</v>
      </c>
      <c r="AL462">
        <v>1</v>
      </c>
      <c r="AN462">
        <v>0</v>
      </c>
      <c r="AO462">
        <v>1</v>
      </c>
      <c r="AP462">
        <v>0</v>
      </c>
      <c r="AQ462">
        <v>0</v>
      </c>
      <c r="AR462">
        <v>0</v>
      </c>
      <c r="AS462" t="s">
        <v>3</v>
      </c>
      <c r="AT462">
        <v>6.0000000000000001E-3</v>
      </c>
      <c r="AU462" t="s">
        <v>3</v>
      </c>
      <c r="AV462">
        <v>0</v>
      </c>
      <c r="AW462">
        <v>2</v>
      </c>
      <c r="AX462">
        <v>48373321</v>
      </c>
      <c r="AY462">
        <v>1</v>
      </c>
      <c r="AZ462">
        <v>0</v>
      </c>
      <c r="BA462">
        <v>464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CX462">
        <f>Y462*Source!I186</f>
        <v>3.6000000000000001E-5</v>
      </c>
      <c r="CY462">
        <f>AA462</f>
        <v>4138.99</v>
      </c>
      <c r="CZ462">
        <f>AE462</f>
        <v>729.98</v>
      </c>
      <c r="DA462">
        <f>AI462</f>
        <v>5.67</v>
      </c>
      <c r="DB462">
        <v>0</v>
      </c>
    </row>
    <row r="463" spans="1:106">
      <c r="A463">
        <f>ROW(Source!A187)</f>
        <v>187</v>
      </c>
      <c r="B463">
        <v>48370320</v>
      </c>
      <c r="C463">
        <v>48373322</v>
      </c>
      <c r="D463">
        <v>23132590</v>
      </c>
      <c r="E463">
        <v>1</v>
      </c>
      <c r="F463">
        <v>1</v>
      </c>
      <c r="G463">
        <v>1</v>
      </c>
      <c r="H463">
        <v>1</v>
      </c>
      <c r="I463" t="s">
        <v>889</v>
      </c>
      <c r="J463" t="s">
        <v>3</v>
      </c>
      <c r="K463" t="s">
        <v>890</v>
      </c>
      <c r="L463">
        <v>1369</v>
      </c>
      <c r="N463">
        <v>1013</v>
      </c>
      <c r="O463" t="s">
        <v>510</v>
      </c>
      <c r="P463" t="s">
        <v>510</v>
      </c>
      <c r="Q463">
        <v>1</v>
      </c>
      <c r="W463">
        <v>0</v>
      </c>
      <c r="X463">
        <v>1935273774</v>
      </c>
      <c r="Y463">
        <v>45.436499999999995</v>
      </c>
      <c r="AA463">
        <v>0</v>
      </c>
      <c r="AB463">
        <v>0</v>
      </c>
      <c r="AC463">
        <v>0</v>
      </c>
      <c r="AD463">
        <v>7.43</v>
      </c>
      <c r="AE463">
        <v>0</v>
      </c>
      <c r="AF463">
        <v>0</v>
      </c>
      <c r="AG463">
        <v>0</v>
      </c>
      <c r="AH463">
        <v>7.43</v>
      </c>
      <c r="AI463">
        <v>1</v>
      </c>
      <c r="AJ463">
        <v>1</v>
      </c>
      <c r="AK463">
        <v>1</v>
      </c>
      <c r="AL463">
        <v>1</v>
      </c>
      <c r="AN463">
        <v>0</v>
      </c>
      <c r="AO463">
        <v>1</v>
      </c>
      <c r="AP463">
        <v>1</v>
      </c>
      <c r="AQ463">
        <v>0</v>
      </c>
      <c r="AR463">
        <v>0</v>
      </c>
      <c r="AS463" t="s">
        <v>3</v>
      </c>
      <c r="AT463">
        <v>39.51</v>
      </c>
      <c r="AU463" t="s">
        <v>161</v>
      </c>
      <c r="AV463">
        <v>1</v>
      </c>
      <c r="AW463">
        <v>2</v>
      </c>
      <c r="AX463">
        <v>48373329</v>
      </c>
      <c r="AY463">
        <v>1</v>
      </c>
      <c r="AZ463">
        <v>0</v>
      </c>
      <c r="BA463">
        <v>465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CX463">
        <f>Y463*Source!I187</f>
        <v>0.32714279999999996</v>
      </c>
      <c r="CY463">
        <f>AD463</f>
        <v>7.43</v>
      </c>
      <c r="CZ463">
        <f>AH463</f>
        <v>7.43</v>
      </c>
      <c r="DA463">
        <f>AL463</f>
        <v>1</v>
      </c>
      <c r="DB463">
        <v>0</v>
      </c>
    </row>
    <row r="464" spans="1:106">
      <c r="A464">
        <f>ROW(Source!A187)</f>
        <v>187</v>
      </c>
      <c r="B464">
        <v>48370320</v>
      </c>
      <c r="C464">
        <v>48373322</v>
      </c>
      <c r="D464">
        <v>121548</v>
      </c>
      <c r="E464">
        <v>1</v>
      </c>
      <c r="F464">
        <v>1</v>
      </c>
      <c r="G464">
        <v>1</v>
      </c>
      <c r="H464">
        <v>1</v>
      </c>
      <c r="I464" t="s">
        <v>24</v>
      </c>
      <c r="J464" t="s">
        <v>3</v>
      </c>
      <c r="K464" t="s">
        <v>511</v>
      </c>
      <c r="L464">
        <v>608254</v>
      </c>
      <c r="N464">
        <v>1013</v>
      </c>
      <c r="O464" t="s">
        <v>512</v>
      </c>
      <c r="P464" t="s">
        <v>512</v>
      </c>
      <c r="Q464">
        <v>1</v>
      </c>
      <c r="W464">
        <v>0</v>
      </c>
      <c r="X464">
        <v>-185737400</v>
      </c>
      <c r="Y464">
        <v>1.5874999999999999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1</v>
      </c>
      <c r="AJ464">
        <v>1</v>
      </c>
      <c r="AK464">
        <v>1</v>
      </c>
      <c r="AL464">
        <v>1</v>
      </c>
      <c r="AN464">
        <v>0</v>
      </c>
      <c r="AO464">
        <v>1</v>
      </c>
      <c r="AP464">
        <v>1</v>
      </c>
      <c r="AQ464">
        <v>0</v>
      </c>
      <c r="AR464">
        <v>0</v>
      </c>
      <c r="AS464" t="s">
        <v>3</v>
      </c>
      <c r="AT464">
        <v>1.27</v>
      </c>
      <c r="AU464" t="s">
        <v>160</v>
      </c>
      <c r="AV464">
        <v>2</v>
      </c>
      <c r="AW464">
        <v>2</v>
      </c>
      <c r="AX464">
        <v>48373330</v>
      </c>
      <c r="AY464">
        <v>1</v>
      </c>
      <c r="AZ464">
        <v>0</v>
      </c>
      <c r="BA464">
        <v>466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CX464">
        <f>Y464*Source!I187</f>
        <v>1.1429999999999999E-2</v>
      </c>
      <c r="CY464">
        <f>AD464</f>
        <v>0</v>
      </c>
      <c r="CZ464">
        <f>AH464</f>
        <v>0</v>
      </c>
      <c r="DA464">
        <f>AL464</f>
        <v>1</v>
      </c>
      <c r="DB464">
        <v>0</v>
      </c>
    </row>
    <row r="465" spans="1:106">
      <c r="A465">
        <f>ROW(Source!A187)</f>
        <v>187</v>
      </c>
      <c r="B465">
        <v>48370320</v>
      </c>
      <c r="C465">
        <v>48373322</v>
      </c>
      <c r="D465">
        <v>37802578</v>
      </c>
      <c r="E465">
        <v>1</v>
      </c>
      <c r="F465">
        <v>1</v>
      </c>
      <c r="G465">
        <v>1</v>
      </c>
      <c r="H465">
        <v>2</v>
      </c>
      <c r="I465" t="s">
        <v>550</v>
      </c>
      <c r="J465" t="s">
        <v>551</v>
      </c>
      <c r="K465" t="s">
        <v>552</v>
      </c>
      <c r="L465">
        <v>1368</v>
      </c>
      <c r="N465">
        <v>1011</v>
      </c>
      <c r="O465" t="s">
        <v>516</v>
      </c>
      <c r="P465" t="s">
        <v>516</v>
      </c>
      <c r="Q465">
        <v>1</v>
      </c>
      <c r="W465">
        <v>0</v>
      </c>
      <c r="X465">
        <v>1753337916</v>
      </c>
      <c r="Y465">
        <v>1.5874999999999999</v>
      </c>
      <c r="AA465">
        <v>0</v>
      </c>
      <c r="AB465">
        <v>327.64</v>
      </c>
      <c r="AC465">
        <v>252.65</v>
      </c>
      <c r="AD465">
        <v>0</v>
      </c>
      <c r="AE465">
        <v>0</v>
      </c>
      <c r="AF465">
        <v>32.090000000000003</v>
      </c>
      <c r="AG465">
        <v>12.1</v>
      </c>
      <c r="AH465">
        <v>0</v>
      </c>
      <c r="AI465">
        <v>1</v>
      </c>
      <c r="AJ465">
        <v>10.210000000000001</v>
      </c>
      <c r="AK465">
        <v>20.88</v>
      </c>
      <c r="AL465">
        <v>1</v>
      </c>
      <c r="AN465">
        <v>0</v>
      </c>
      <c r="AO465">
        <v>1</v>
      </c>
      <c r="AP465">
        <v>1</v>
      </c>
      <c r="AQ465">
        <v>0</v>
      </c>
      <c r="AR465">
        <v>0</v>
      </c>
      <c r="AS465" t="s">
        <v>3</v>
      </c>
      <c r="AT465">
        <v>1.27</v>
      </c>
      <c r="AU465" t="s">
        <v>160</v>
      </c>
      <c r="AV465">
        <v>0</v>
      </c>
      <c r="AW465">
        <v>2</v>
      </c>
      <c r="AX465">
        <v>48373331</v>
      </c>
      <c r="AY465">
        <v>1</v>
      </c>
      <c r="AZ465">
        <v>0</v>
      </c>
      <c r="BA465">
        <v>467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CX465">
        <f>Y465*Source!I187</f>
        <v>1.1429999999999999E-2</v>
      </c>
      <c r="CY465">
        <f>AB465</f>
        <v>327.64</v>
      </c>
      <c r="CZ465">
        <f>AF465</f>
        <v>32.090000000000003</v>
      </c>
      <c r="DA465">
        <f>AJ465</f>
        <v>10.210000000000001</v>
      </c>
      <c r="DB465">
        <v>0</v>
      </c>
    </row>
    <row r="466" spans="1:106">
      <c r="A466">
        <f>ROW(Source!A187)</f>
        <v>187</v>
      </c>
      <c r="B466">
        <v>48370320</v>
      </c>
      <c r="C466">
        <v>48373322</v>
      </c>
      <c r="D466">
        <v>37803001</v>
      </c>
      <c r="E466">
        <v>1</v>
      </c>
      <c r="F466">
        <v>1</v>
      </c>
      <c r="G466">
        <v>1</v>
      </c>
      <c r="H466">
        <v>2</v>
      </c>
      <c r="I466" t="s">
        <v>891</v>
      </c>
      <c r="J466" t="s">
        <v>892</v>
      </c>
      <c r="K466" t="s">
        <v>893</v>
      </c>
      <c r="L466">
        <v>1368</v>
      </c>
      <c r="N466">
        <v>1011</v>
      </c>
      <c r="O466" t="s">
        <v>516</v>
      </c>
      <c r="P466" t="s">
        <v>516</v>
      </c>
      <c r="Q466">
        <v>1</v>
      </c>
      <c r="W466">
        <v>0</v>
      </c>
      <c r="X466">
        <v>736086632</v>
      </c>
      <c r="Y466">
        <v>11.3375</v>
      </c>
      <c r="AA466">
        <v>0</v>
      </c>
      <c r="AB466">
        <v>3.13</v>
      </c>
      <c r="AC466">
        <v>0</v>
      </c>
      <c r="AD466">
        <v>0</v>
      </c>
      <c r="AE466">
        <v>0</v>
      </c>
      <c r="AF466">
        <v>0.66</v>
      </c>
      <c r="AG466">
        <v>0</v>
      </c>
      <c r="AH466">
        <v>0</v>
      </c>
      <c r="AI466">
        <v>1</v>
      </c>
      <c r="AJ466">
        <v>4.74</v>
      </c>
      <c r="AK466">
        <v>20.88</v>
      </c>
      <c r="AL466">
        <v>1</v>
      </c>
      <c r="AN466">
        <v>0</v>
      </c>
      <c r="AO466">
        <v>1</v>
      </c>
      <c r="AP466">
        <v>1</v>
      </c>
      <c r="AQ466">
        <v>0</v>
      </c>
      <c r="AR466">
        <v>0</v>
      </c>
      <c r="AS466" t="s">
        <v>3</v>
      </c>
      <c r="AT466">
        <v>9.07</v>
      </c>
      <c r="AU466" t="s">
        <v>160</v>
      </c>
      <c r="AV466">
        <v>0</v>
      </c>
      <c r="AW466">
        <v>2</v>
      </c>
      <c r="AX466">
        <v>48373332</v>
      </c>
      <c r="AY466">
        <v>1</v>
      </c>
      <c r="AZ466">
        <v>0</v>
      </c>
      <c r="BA466">
        <v>468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CX466">
        <f>Y466*Source!I187</f>
        <v>8.1629999999999994E-2</v>
      </c>
      <c r="CY466">
        <f>AB466</f>
        <v>3.13</v>
      </c>
      <c r="CZ466">
        <f>AF466</f>
        <v>0.66</v>
      </c>
      <c r="DA466">
        <f>AJ466</f>
        <v>4.74</v>
      </c>
      <c r="DB466">
        <v>0</v>
      </c>
    </row>
    <row r="467" spans="1:106">
      <c r="A467">
        <f>ROW(Source!A187)</f>
        <v>187</v>
      </c>
      <c r="B467">
        <v>48370320</v>
      </c>
      <c r="C467">
        <v>48373322</v>
      </c>
      <c r="D467">
        <v>37768005</v>
      </c>
      <c r="E467">
        <v>1</v>
      </c>
      <c r="F467">
        <v>1</v>
      </c>
      <c r="G467">
        <v>1</v>
      </c>
      <c r="H467">
        <v>3</v>
      </c>
      <c r="I467" t="s">
        <v>894</v>
      </c>
      <c r="J467" t="s">
        <v>895</v>
      </c>
      <c r="K467" t="s">
        <v>896</v>
      </c>
      <c r="L467">
        <v>1339</v>
      </c>
      <c r="N467">
        <v>1007</v>
      </c>
      <c r="O467" t="s">
        <v>543</v>
      </c>
      <c r="P467" t="s">
        <v>543</v>
      </c>
      <c r="Q467">
        <v>1</v>
      </c>
      <c r="W467">
        <v>0</v>
      </c>
      <c r="X467">
        <v>1065076017</v>
      </c>
      <c r="Y467">
        <v>2.04</v>
      </c>
      <c r="AA467">
        <v>3653.36</v>
      </c>
      <c r="AB467">
        <v>0</v>
      </c>
      <c r="AC467">
        <v>0</v>
      </c>
      <c r="AD467">
        <v>0</v>
      </c>
      <c r="AE467">
        <v>472.01</v>
      </c>
      <c r="AF467">
        <v>0</v>
      </c>
      <c r="AG467">
        <v>0</v>
      </c>
      <c r="AH467">
        <v>0</v>
      </c>
      <c r="AI467">
        <v>7.74</v>
      </c>
      <c r="AJ467">
        <v>1</v>
      </c>
      <c r="AK467">
        <v>1</v>
      </c>
      <c r="AL467">
        <v>1</v>
      </c>
      <c r="AN467">
        <v>0</v>
      </c>
      <c r="AO467">
        <v>1</v>
      </c>
      <c r="AP467">
        <v>0</v>
      </c>
      <c r="AQ467">
        <v>0</v>
      </c>
      <c r="AR467">
        <v>0</v>
      </c>
      <c r="AS467" t="s">
        <v>3</v>
      </c>
      <c r="AT467">
        <v>2.04</v>
      </c>
      <c r="AU467" t="s">
        <v>3</v>
      </c>
      <c r="AV467">
        <v>0</v>
      </c>
      <c r="AW467">
        <v>2</v>
      </c>
      <c r="AX467">
        <v>48373333</v>
      </c>
      <c r="AY467">
        <v>1</v>
      </c>
      <c r="AZ467">
        <v>0</v>
      </c>
      <c r="BA467">
        <v>469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CX467">
        <f>Y467*Source!I187</f>
        <v>1.4688E-2</v>
      </c>
      <c r="CY467">
        <f>AA467</f>
        <v>3653.36</v>
      </c>
      <c r="CZ467">
        <f>AE467</f>
        <v>472.01</v>
      </c>
      <c r="DA467">
        <f>AI467</f>
        <v>7.74</v>
      </c>
      <c r="DB467">
        <v>0</v>
      </c>
    </row>
    <row r="468" spans="1:106">
      <c r="A468">
        <f>ROW(Source!A187)</f>
        <v>187</v>
      </c>
      <c r="B468">
        <v>48370320</v>
      </c>
      <c r="C468">
        <v>48373322</v>
      </c>
      <c r="D468">
        <v>37777802</v>
      </c>
      <c r="E468">
        <v>1</v>
      </c>
      <c r="F468">
        <v>1</v>
      </c>
      <c r="G468">
        <v>1</v>
      </c>
      <c r="H468">
        <v>3</v>
      </c>
      <c r="I468" t="s">
        <v>616</v>
      </c>
      <c r="J468" t="s">
        <v>617</v>
      </c>
      <c r="K468" t="s">
        <v>618</v>
      </c>
      <c r="L468">
        <v>1339</v>
      </c>
      <c r="N468">
        <v>1007</v>
      </c>
      <c r="O468" t="s">
        <v>543</v>
      </c>
      <c r="P468" t="s">
        <v>543</v>
      </c>
      <c r="Q468">
        <v>1</v>
      </c>
      <c r="W468">
        <v>0</v>
      </c>
      <c r="X468">
        <v>-1418712732</v>
      </c>
      <c r="Y468">
        <v>3.5</v>
      </c>
      <c r="AA468">
        <v>45.55</v>
      </c>
      <c r="AB468">
        <v>0</v>
      </c>
      <c r="AC468">
        <v>0</v>
      </c>
      <c r="AD468">
        <v>0</v>
      </c>
      <c r="AE468">
        <v>2.4700000000000002</v>
      </c>
      <c r="AF468">
        <v>0</v>
      </c>
      <c r="AG468">
        <v>0</v>
      </c>
      <c r="AH468">
        <v>0</v>
      </c>
      <c r="AI468">
        <v>18.440000000000001</v>
      </c>
      <c r="AJ468">
        <v>1</v>
      </c>
      <c r="AK468">
        <v>1</v>
      </c>
      <c r="AL468">
        <v>1</v>
      </c>
      <c r="AN468">
        <v>0</v>
      </c>
      <c r="AO468">
        <v>1</v>
      </c>
      <c r="AP468">
        <v>0</v>
      </c>
      <c r="AQ468">
        <v>0</v>
      </c>
      <c r="AR468">
        <v>0</v>
      </c>
      <c r="AS468" t="s">
        <v>3</v>
      </c>
      <c r="AT468">
        <v>3.5</v>
      </c>
      <c r="AU468" t="s">
        <v>3</v>
      </c>
      <c r="AV468">
        <v>0</v>
      </c>
      <c r="AW468">
        <v>2</v>
      </c>
      <c r="AX468">
        <v>48373334</v>
      </c>
      <c r="AY468">
        <v>1</v>
      </c>
      <c r="AZ468">
        <v>0</v>
      </c>
      <c r="BA468">
        <v>470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CX468">
        <f>Y468*Source!I187</f>
        <v>2.52E-2</v>
      </c>
      <c r="CY468">
        <f>AA468</f>
        <v>45.55</v>
      </c>
      <c r="CZ468">
        <f>AE468</f>
        <v>2.4700000000000002</v>
      </c>
      <c r="DA468">
        <f>AI468</f>
        <v>18.440000000000001</v>
      </c>
      <c r="DB468">
        <v>0</v>
      </c>
    </row>
    <row r="469" spans="1:106">
      <c r="A469">
        <f>ROW(Source!A188)</f>
        <v>188</v>
      </c>
      <c r="B469">
        <v>48370320</v>
      </c>
      <c r="C469">
        <v>48373335</v>
      </c>
      <c r="D469">
        <v>23134955</v>
      </c>
      <c r="E469">
        <v>1</v>
      </c>
      <c r="F469">
        <v>1</v>
      </c>
      <c r="G469">
        <v>1</v>
      </c>
      <c r="H469">
        <v>1</v>
      </c>
      <c r="I469" t="s">
        <v>662</v>
      </c>
      <c r="J469" t="s">
        <v>3</v>
      </c>
      <c r="K469" t="s">
        <v>663</v>
      </c>
      <c r="L469">
        <v>1369</v>
      </c>
      <c r="N469">
        <v>1013</v>
      </c>
      <c r="O469" t="s">
        <v>510</v>
      </c>
      <c r="P469" t="s">
        <v>510</v>
      </c>
      <c r="Q469">
        <v>1</v>
      </c>
      <c r="W469">
        <v>0</v>
      </c>
      <c r="X469">
        <v>-1698459243</v>
      </c>
      <c r="Y469">
        <v>356.983</v>
      </c>
      <c r="AA469">
        <v>0</v>
      </c>
      <c r="AB469">
        <v>0</v>
      </c>
      <c r="AC469">
        <v>0</v>
      </c>
      <c r="AD469">
        <v>8.17</v>
      </c>
      <c r="AE469">
        <v>0</v>
      </c>
      <c r="AF469">
        <v>0</v>
      </c>
      <c r="AG469">
        <v>0</v>
      </c>
      <c r="AH469">
        <v>8.17</v>
      </c>
      <c r="AI469">
        <v>1</v>
      </c>
      <c r="AJ469">
        <v>1</v>
      </c>
      <c r="AK469">
        <v>1</v>
      </c>
      <c r="AL469">
        <v>1</v>
      </c>
      <c r="AN469">
        <v>0</v>
      </c>
      <c r="AO469">
        <v>1</v>
      </c>
      <c r="AP469">
        <v>1</v>
      </c>
      <c r="AQ469">
        <v>0</v>
      </c>
      <c r="AR469">
        <v>0</v>
      </c>
      <c r="AS469" t="s">
        <v>3</v>
      </c>
      <c r="AT469">
        <v>310.42</v>
      </c>
      <c r="AU469" t="s">
        <v>161</v>
      </c>
      <c r="AV469">
        <v>1</v>
      </c>
      <c r="AW469">
        <v>2</v>
      </c>
      <c r="AX469">
        <v>48373349</v>
      </c>
      <c r="AY469">
        <v>1</v>
      </c>
      <c r="AZ469">
        <v>0</v>
      </c>
      <c r="BA469">
        <v>471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CX469">
        <f>Y469*Source!I188</f>
        <v>2.5702775999999998</v>
      </c>
      <c r="CY469">
        <f>AD469</f>
        <v>8.17</v>
      </c>
      <c r="CZ469">
        <f>AH469</f>
        <v>8.17</v>
      </c>
      <c r="DA469">
        <f>AL469</f>
        <v>1</v>
      </c>
      <c r="DB469">
        <v>0</v>
      </c>
    </row>
    <row r="470" spans="1:106">
      <c r="A470">
        <f>ROW(Source!A188)</f>
        <v>188</v>
      </c>
      <c r="B470">
        <v>48370320</v>
      </c>
      <c r="C470">
        <v>48373335</v>
      </c>
      <c r="D470">
        <v>121548</v>
      </c>
      <c r="E470">
        <v>1</v>
      </c>
      <c r="F470">
        <v>1</v>
      </c>
      <c r="G470">
        <v>1</v>
      </c>
      <c r="H470">
        <v>1</v>
      </c>
      <c r="I470" t="s">
        <v>24</v>
      </c>
      <c r="J470" t="s">
        <v>3</v>
      </c>
      <c r="K470" t="s">
        <v>511</v>
      </c>
      <c r="L470">
        <v>608254</v>
      </c>
      <c r="N470">
        <v>1013</v>
      </c>
      <c r="O470" t="s">
        <v>512</v>
      </c>
      <c r="P470" t="s">
        <v>512</v>
      </c>
      <c r="Q470">
        <v>1</v>
      </c>
      <c r="W470">
        <v>0</v>
      </c>
      <c r="X470">
        <v>-185737400</v>
      </c>
      <c r="Y470">
        <v>2.15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1</v>
      </c>
      <c r="AJ470">
        <v>1</v>
      </c>
      <c r="AK470">
        <v>1</v>
      </c>
      <c r="AL470">
        <v>1</v>
      </c>
      <c r="AN470">
        <v>0</v>
      </c>
      <c r="AO470">
        <v>1</v>
      </c>
      <c r="AP470">
        <v>1</v>
      </c>
      <c r="AQ470">
        <v>0</v>
      </c>
      <c r="AR470">
        <v>0</v>
      </c>
      <c r="AS470" t="s">
        <v>3</v>
      </c>
      <c r="AT470">
        <v>1.72</v>
      </c>
      <c r="AU470" t="s">
        <v>160</v>
      </c>
      <c r="AV470">
        <v>2</v>
      </c>
      <c r="AW470">
        <v>2</v>
      </c>
      <c r="AX470">
        <v>48373350</v>
      </c>
      <c r="AY470">
        <v>1</v>
      </c>
      <c r="AZ470">
        <v>0</v>
      </c>
      <c r="BA470">
        <v>472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CX470">
        <f>Y470*Source!I188</f>
        <v>1.5479999999999999E-2</v>
      </c>
      <c r="CY470">
        <f>AD470</f>
        <v>0</v>
      </c>
      <c r="CZ470">
        <f>AH470</f>
        <v>0</v>
      </c>
      <c r="DA470">
        <f>AL470</f>
        <v>1</v>
      </c>
      <c r="DB470">
        <v>0</v>
      </c>
    </row>
    <row r="471" spans="1:106">
      <c r="A471">
        <f>ROW(Source!A188)</f>
        <v>188</v>
      </c>
      <c r="B471">
        <v>48370320</v>
      </c>
      <c r="C471">
        <v>48373335</v>
      </c>
      <c r="D471">
        <v>37802358</v>
      </c>
      <c r="E471">
        <v>1</v>
      </c>
      <c r="F471">
        <v>1</v>
      </c>
      <c r="G471">
        <v>1</v>
      </c>
      <c r="H471">
        <v>2</v>
      </c>
      <c r="I471" t="s">
        <v>664</v>
      </c>
      <c r="J471" t="s">
        <v>665</v>
      </c>
      <c r="K471" t="s">
        <v>666</v>
      </c>
      <c r="L471">
        <v>1368</v>
      </c>
      <c r="N471">
        <v>1011</v>
      </c>
      <c r="O471" t="s">
        <v>516</v>
      </c>
      <c r="P471" t="s">
        <v>516</v>
      </c>
      <c r="Q471">
        <v>1</v>
      </c>
      <c r="W471">
        <v>0</v>
      </c>
      <c r="X471">
        <v>-1039981432</v>
      </c>
      <c r="Y471">
        <v>2.5000000000000001E-2</v>
      </c>
      <c r="AA471">
        <v>0</v>
      </c>
      <c r="AB471">
        <v>553.82000000000005</v>
      </c>
      <c r="AC471">
        <v>252.65</v>
      </c>
      <c r="AD471">
        <v>0</v>
      </c>
      <c r="AE471">
        <v>0</v>
      </c>
      <c r="AF471">
        <v>100.33</v>
      </c>
      <c r="AG471">
        <v>12.1</v>
      </c>
      <c r="AH471">
        <v>0</v>
      </c>
      <c r="AI471">
        <v>1</v>
      </c>
      <c r="AJ471">
        <v>5.52</v>
      </c>
      <c r="AK471">
        <v>20.88</v>
      </c>
      <c r="AL471">
        <v>1</v>
      </c>
      <c r="AN471">
        <v>0</v>
      </c>
      <c r="AO471">
        <v>1</v>
      </c>
      <c r="AP471">
        <v>1</v>
      </c>
      <c r="AQ471">
        <v>0</v>
      </c>
      <c r="AR471">
        <v>0</v>
      </c>
      <c r="AS471" t="s">
        <v>3</v>
      </c>
      <c r="AT471">
        <v>0.02</v>
      </c>
      <c r="AU471" t="s">
        <v>160</v>
      </c>
      <c r="AV471">
        <v>0</v>
      </c>
      <c r="AW471">
        <v>2</v>
      </c>
      <c r="AX471">
        <v>48373351</v>
      </c>
      <c r="AY471">
        <v>1</v>
      </c>
      <c r="AZ471">
        <v>0</v>
      </c>
      <c r="BA471">
        <v>473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CX471">
        <f>Y471*Source!I188</f>
        <v>1.8000000000000001E-4</v>
      </c>
      <c r="CY471">
        <f>AB471</f>
        <v>553.82000000000005</v>
      </c>
      <c r="CZ471">
        <f>AF471</f>
        <v>100.33</v>
      </c>
      <c r="DA471">
        <f>AJ471</f>
        <v>5.52</v>
      </c>
      <c r="DB471">
        <v>0</v>
      </c>
    </row>
    <row r="472" spans="1:106">
      <c r="A472">
        <f>ROW(Source!A188)</f>
        <v>188</v>
      </c>
      <c r="B472">
        <v>48370320</v>
      </c>
      <c r="C472">
        <v>48373335</v>
      </c>
      <c r="D472">
        <v>37802442</v>
      </c>
      <c r="E472">
        <v>1</v>
      </c>
      <c r="F472">
        <v>1</v>
      </c>
      <c r="G472">
        <v>1</v>
      </c>
      <c r="H472">
        <v>2</v>
      </c>
      <c r="I472" t="s">
        <v>667</v>
      </c>
      <c r="J472" t="s">
        <v>668</v>
      </c>
      <c r="K472" t="s">
        <v>669</v>
      </c>
      <c r="L472">
        <v>1368</v>
      </c>
      <c r="N472">
        <v>1011</v>
      </c>
      <c r="O472" t="s">
        <v>516</v>
      </c>
      <c r="P472" t="s">
        <v>516</v>
      </c>
      <c r="Q472">
        <v>1</v>
      </c>
      <c r="W472">
        <v>0</v>
      </c>
      <c r="X472">
        <v>70398099</v>
      </c>
      <c r="Y472">
        <v>1.2500000000000001E-2</v>
      </c>
      <c r="AA472">
        <v>0</v>
      </c>
      <c r="AB472">
        <v>773.83</v>
      </c>
      <c r="AC472">
        <v>216.11</v>
      </c>
      <c r="AD472">
        <v>0</v>
      </c>
      <c r="AE472">
        <v>0</v>
      </c>
      <c r="AF472">
        <v>104.01</v>
      </c>
      <c r="AG472">
        <v>10.35</v>
      </c>
      <c r="AH472">
        <v>0</v>
      </c>
      <c r="AI472">
        <v>1</v>
      </c>
      <c r="AJ472">
        <v>7.44</v>
      </c>
      <c r="AK472">
        <v>20.88</v>
      </c>
      <c r="AL472">
        <v>1</v>
      </c>
      <c r="AN472">
        <v>0</v>
      </c>
      <c r="AO472">
        <v>1</v>
      </c>
      <c r="AP472">
        <v>1</v>
      </c>
      <c r="AQ472">
        <v>0</v>
      </c>
      <c r="AR472">
        <v>0</v>
      </c>
      <c r="AS472" t="s">
        <v>3</v>
      </c>
      <c r="AT472">
        <v>0.01</v>
      </c>
      <c r="AU472" t="s">
        <v>160</v>
      </c>
      <c r="AV472">
        <v>0</v>
      </c>
      <c r="AW472">
        <v>2</v>
      </c>
      <c r="AX472">
        <v>48373352</v>
      </c>
      <c r="AY472">
        <v>1</v>
      </c>
      <c r="AZ472">
        <v>0</v>
      </c>
      <c r="BA472">
        <v>474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CX472">
        <f>Y472*Source!I188</f>
        <v>9.0000000000000006E-5</v>
      </c>
      <c r="CY472">
        <f>AB472</f>
        <v>773.83</v>
      </c>
      <c r="CZ472">
        <f>AF472</f>
        <v>104.01</v>
      </c>
      <c r="DA472">
        <f>AJ472</f>
        <v>7.44</v>
      </c>
      <c r="DB472">
        <v>0</v>
      </c>
    </row>
    <row r="473" spans="1:106">
      <c r="A473">
        <f>ROW(Source!A188)</f>
        <v>188</v>
      </c>
      <c r="B473">
        <v>48370320</v>
      </c>
      <c r="C473">
        <v>48373335</v>
      </c>
      <c r="D473">
        <v>37802992</v>
      </c>
      <c r="E473">
        <v>1</v>
      </c>
      <c r="F473">
        <v>1</v>
      </c>
      <c r="G473">
        <v>1</v>
      </c>
      <c r="H473">
        <v>2</v>
      </c>
      <c r="I473" t="s">
        <v>653</v>
      </c>
      <c r="J473" t="s">
        <v>654</v>
      </c>
      <c r="K473" t="s">
        <v>655</v>
      </c>
      <c r="L473">
        <v>1368</v>
      </c>
      <c r="N473">
        <v>1011</v>
      </c>
      <c r="O473" t="s">
        <v>516</v>
      </c>
      <c r="P473" t="s">
        <v>516</v>
      </c>
      <c r="Q473">
        <v>1</v>
      </c>
      <c r="W473">
        <v>0</v>
      </c>
      <c r="X473">
        <v>1801551115</v>
      </c>
      <c r="Y473">
        <v>2.1124999999999998</v>
      </c>
      <c r="AA473">
        <v>0</v>
      </c>
      <c r="AB473">
        <v>207.72</v>
      </c>
      <c r="AC473">
        <v>187.92</v>
      </c>
      <c r="AD473">
        <v>0</v>
      </c>
      <c r="AE473">
        <v>0</v>
      </c>
      <c r="AF473">
        <v>11.32</v>
      </c>
      <c r="AG473">
        <v>9</v>
      </c>
      <c r="AH473">
        <v>0</v>
      </c>
      <c r="AI473">
        <v>1</v>
      </c>
      <c r="AJ473">
        <v>18.350000000000001</v>
      </c>
      <c r="AK473">
        <v>20.88</v>
      </c>
      <c r="AL473">
        <v>1</v>
      </c>
      <c r="AN473">
        <v>0</v>
      </c>
      <c r="AO473">
        <v>1</v>
      </c>
      <c r="AP473">
        <v>1</v>
      </c>
      <c r="AQ473">
        <v>0</v>
      </c>
      <c r="AR473">
        <v>0</v>
      </c>
      <c r="AS473" t="s">
        <v>3</v>
      </c>
      <c r="AT473">
        <v>1.69</v>
      </c>
      <c r="AU473" t="s">
        <v>160</v>
      </c>
      <c r="AV473">
        <v>0</v>
      </c>
      <c r="AW473">
        <v>2</v>
      </c>
      <c r="AX473">
        <v>48373353</v>
      </c>
      <c r="AY473">
        <v>1</v>
      </c>
      <c r="AZ473">
        <v>0</v>
      </c>
      <c r="BA473">
        <v>475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CX473">
        <f>Y473*Source!I188</f>
        <v>1.5209999999999998E-2</v>
      </c>
      <c r="CY473">
        <f>AB473</f>
        <v>207.72</v>
      </c>
      <c r="CZ473">
        <f>AF473</f>
        <v>11.32</v>
      </c>
      <c r="DA473">
        <f>AJ473</f>
        <v>18.350000000000001</v>
      </c>
      <c r="DB473">
        <v>0</v>
      </c>
    </row>
    <row r="474" spans="1:106">
      <c r="A474">
        <f>ROW(Source!A188)</f>
        <v>188</v>
      </c>
      <c r="B474">
        <v>48370320</v>
      </c>
      <c r="C474">
        <v>48373335</v>
      </c>
      <c r="D474">
        <v>37804194</v>
      </c>
      <c r="E474">
        <v>1</v>
      </c>
      <c r="F474">
        <v>1</v>
      </c>
      <c r="G474">
        <v>1</v>
      </c>
      <c r="H474">
        <v>2</v>
      </c>
      <c r="I474" t="s">
        <v>670</v>
      </c>
      <c r="J474" t="s">
        <v>671</v>
      </c>
      <c r="K474" t="s">
        <v>672</v>
      </c>
      <c r="L474">
        <v>1368</v>
      </c>
      <c r="N474">
        <v>1011</v>
      </c>
      <c r="O474" t="s">
        <v>516</v>
      </c>
      <c r="P474" t="s">
        <v>516</v>
      </c>
      <c r="Q474">
        <v>1</v>
      </c>
      <c r="W474">
        <v>0</v>
      </c>
      <c r="X474">
        <v>1254034396</v>
      </c>
      <c r="Y474">
        <v>6.25E-2</v>
      </c>
      <c r="AA474">
        <v>0</v>
      </c>
      <c r="AB474">
        <v>29.42</v>
      </c>
      <c r="AC474">
        <v>0</v>
      </c>
      <c r="AD474">
        <v>0</v>
      </c>
      <c r="AE474">
        <v>0</v>
      </c>
      <c r="AF474">
        <v>11.02</v>
      </c>
      <c r="AG474">
        <v>0</v>
      </c>
      <c r="AH474">
        <v>0</v>
      </c>
      <c r="AI474">
        <v>1</v>
      </c>
      <c r="AJ474">
        <v>2.67</v>
      </c>
      <c r="AK474">
        <v>20.88</v>
      </c>
      <c r="AL474">
        <v>1</v>
      </c>
      <c r="AN474">
        <v>0</v>
      </c>
      <c r="AO474">
        <v>1</v>
      </c>
      <c r="AP474">
        <v>1</v>
      </c>
      <c r="AQ474">
        <v>0</v>
      </c>
      <c r="AR474">
        <v>0</v>
      </c>
      <c r="AS474" t="s">
        <v>3</v>
      </c>
      <c r="AT474">
        <v>0.05</v>
      </c>
      <c r="AU474" t="s">
        <v>160</v>
      </c>
      <c r="AV474">
        <v>0</v>
      </c>
      <c r="AW474">
        <v>2</v>
      </c>
      <c r="AX474">
        <v>48373354</v>
      </c>
      <c r="AY474">
        <v>1</v>
      </c>
      <c r="AZ474">
        <v>0</v>
      </c>
      <c r="BA474">
        <v>476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CX474">
        <f>Y474*Source!I188</f>
        <v>4.4999999999999999E-4</v>
      </c>
      <c r="CY474">
        <f>AB474</f>
        <v>29.42</v>
      </c>
      <c r="CZ474">
        <f>AF474</f>
        <v>11.02</v>
      </c>
      <c r="DA474">
        <f>AJ474</f>
        <v>2.67</v>
      </c>
      <c r="DB474">
        <v>0</v>
      </c>
    </row>
    <row r="475" spans="1:106">
      <c r="A475">
        <f>ROW(Source!A188)</f>
        <v>188</v>
      </c>
      <c r="B475">
        <v>48370320</v>
      </c>
      <c r="C475">
        <v>48373335</v>
      </c>
      <c r="D475">
        <v>37804456</v>
      </c>
      <c r="E475">
        <v>1</v>
      </c>
      <c r="F475">
        <v>1</v>
      </c>
      <c r="G475">
        <v>1</v>
      </c>
      <c r="H475">
        <v>2</v>
      </c>
      <c r="I475" t="s">
        <v>530</v>
      </c>
      <c r="J475" t="s">
        <v>531</v>
      </c>
      <c r="K475" t="s">
        <v>532</v>
      </c>
      <c r="L475">
        <v>1368</v>
      </c>
      <c r="N475">
        <v>1011</v>
      </c>
      <c r="O475" t="s">
        <v>516</v>
      </c>
      <c r="P475" t="s">
        <v>516</v>
      </c>
      <c r="Q475">
        <v>1</v>
      </c>
      <c r="W475">
        <v>0</v>
      </c>
      <c r="X475">
        <v>-671646184</v>
      </c>
      <c r="Y475">
        <v>1.2500000000000001E-2</v>
      </c>
      <c r="AA475">
        <v>0</v>
      </c>
      <c r="AB475">
        <v>844.19</v>
      </c>
      <c r="AC475">
        <v>216.11</v>
      </c>
      <c r="AD475">
        <v>0</v>
      </c>
      <c r="AE475">
        <v>0</v>
      </c>
      <c r="AF475">
        <v>91.76</v>
      </c>
      <c r="AG475">
        <v>10.35</v>
      </c>
      <c r="AH475">
        <v>0</v>
      </c>
      <c r="AI475">
        <v>1</v>
      </c>
      <c r="AJ475">
        <v>9.1999999999999993</v>
      </c>
      <c r="AK475">
        <v>20.88</v>
      </c>
      <c r="AL475">
        <v>1</v>
      </c>
      <c r="AN475">
        <v>0</v>
      </c>
      <c r="AO475">
        <v>1</v>
      </c>
      <c r="AP475">
        <v>1</v>
      </c>
      <c r="AQ475">
        <v>0</v>
      </c>
      <c r="AR475">
        <v>0</v>
      </c>
      <c r="AS475" t="s">
        <v>3</v>
      </c>
      <c r="AT475">
        <v>0.01</v>
      </c>
      <c r="AU475" t="s">
        <v>160</v>
      </c>
      <c r="AV475">
        <v>0</v>
      </c>
      <c r="AW475">
        <v>2</v>
      </c>
      <c r="AX475">
        <v>48373355</v>
      </c>
      <c r="AY475">
        <v>1</v>
      </c>
      <c r="AZ475">
        <v>0</v>
      </c>
      <c r="BA475">
        <v>477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CX475">
        <f>Y475*Source!I188</f>
        <v>9.0000000000000006E-5</v>
      </c>
      <c r="CY475">
        <f>AB475</f>
        <v>844.19</v>
      </c>
      <c r="CZ475">
        <f>AF475</f>
        <v>91.76</v>
      </c>
      <c r="DA475">
        <f>AJ475</f>
        <v>9.1999999999999993</v>
      </c>
      <c r="DB475">
        <v>0</v>
      </c>
    </row>
    <row r="476" spans="1:106">
      <c r="A476">
        <f>ROW(Source!A188)</f>
        <v>188</v>
      </c>
      <c r="B476">
        <v>48370320</v>
      </c>
      <c r="C476">
        <v>48373335</v>
      </c>
      <c r="D476">
        <v>37730034</v>
      </c>
      <c r="E476">
        <v>1</v>
      </c>
      <c r="F476">
        <v>1</v>
      </c>
      <c r="G476">
        <v>1</v>
      </c>
      <c r="H476">
        <v>3</v>
      </c>
      <c r="I476" t="s">
        <v>673</v>
      </c>
      <c r="J476" t="s">
        <v>674</v>
      </c>
      <c r="K476" t="s">
        <v>675</v>
      </c>
      <c r="L476">
        <v>1348</v>
      </c>
      <c r="N476">
        <v>1009</v>
      </c>
      <c r="O476" t="s">
        <v>536</v>
      </c>
      <c r="P476" t="s">
        <v>536</v>
      </c>
      <c r="Q476">
        <v>1000</v>
      </c>
      <c r="W476">
        <v>0</v>
      </c>
      <c r="X476">
        <v>2142030353</v>
      </c>
      <c r="Y476">
        <v>1.2999999999999999E-2</v>
      </c>
      <c r="AA476">
        <v>55662.01</v>
      </c>
      <c r="AB476">
        <v>0</v>
      </c>
      <c r="AC476">
        <v>0</v>
      </c>
      <c r="AD476">
        <v>0</v>
      </c>
      <c r="AE476">
        <v>6610.69</v>
      </c>
      <c r="AF476">
        <v>0</v>
      </c>
      <c r="AG476">
        <v>0</v>
      </c>
      <c r="AH476">
        <v>0</v>
      </c>
      <c r="AI476">
        <v>8.42</v>
      </c>
      <c r="AJ476">
        <v>1</v>
      </c>
      <c r="AK476">
        <v>1</v>
      </c>
      <c r="AL476">
        <v>1</v>
      </c>
      <c r="AN476">
        <v>0</v>
      </c>
      <c r="AO476">
        <v>1</v>
      </c>
      <c r="AP476">
        <v>0</v>
      </c>
      <c r="AQ476">
        <v>0</v>
      </c>
      <c r="AR476">
        <v>0</v>
      </c>
      <c r="AS476" t="s">
        <v>3</v>
      </c>
      <c r="AT476">
        <v>1.2999999999999999E-2</v>
      </c>
      <c r="AU476" t="s">
        <v>3</v>
      </c>
      <c r="AV476">
        <v>0</v>
      </c>
      <c r="AW476">
        <v>2</v>
      </c>
      <c r="AX476">
        <v>48373356</v>
      </c>
      <c r="AY476">
        <v>1</v>
      </c>
      <c r="AZ476">
        <v>0</v>
      </c>
      <c r="BA476">
        <v>478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CX476">
        <f>Y476*Source!I188</f>
        <v>9.3599999999999998E-5</v>
      </c>
      <c r="CY476">
        <f t="shared" ref="CY476:CY481" si="36">AA476</f>
        <v>55662.01</v>
      </c>
      <c r="CZ476">
        <f t="shared" ref="CZ476:CZ481" si="37">AE476</f>
        <v>6610.69</v>
      </c>
      <c r="DA476">
        <f t="shared" ref="DA476:DA481" si="38">AI476</f>
        <v>8.42</v>
      </c>
      <c r="DB476">
        <v>0</v>
      </c>
    </row>
    <row r="477" spans="1:106">
      <c r="A477">
        <f>ROW(Source!A188)</f>
        <v>188</v>
      </c>
      <c r="B477">
        <v>48370320</v>
      </c>
      <c r="C477">
        <v>48373335</v>
      </c>
      <c r="D477">
        <v>37731608</v>
      </c>
      <c r="E477">
        <v>1</v>
      </c>
      <c r="F477">
        <v>1</v>
      </c>
      <c r="G477">
        <v>1</v>
      </c>
      <c r="H477">
        <v>3</v>
      </c>
      <c r="I477" t="s">
        <v>676</v>
      </c>
      <c r="J477" t="s">
        <v>677</v>
      </c>
      <c r="K477" t="s">
        <v>678</v>
      </c>
      <c r="L477">
        <v>1346</v>
      </c>
      <c r="N477">
        <v>1009</v>
      </c>
      <c r="O477" t="s">
        <v>172</v>
      </c>
      <c r="P477" t="s">
        <v>172</v>
      </c>
      <c r="Q477">
        <v>1</v>
      </c>
      <c r="W477">
        <v>0</v>
      </c>
      <c r="X477">
        <v>1860514140</v>
      </c>
      <c r="Y477">
        <v>1200</v>
      </c>
      <c r="AA477">
        <v>15.6</v>
      </c>
      <c r="AB477">
        <v>0</v>
      </c>
      <c r="AC477">
        <v>0</v>
      </c>
      <c r="AD477">
        <v>0</v>
      </c>
      <c r="AE477">
        <v>3.74</v>
      </c>
      <c r="AF477">
        <v>0</v>
      </c>
      <c r="AG477">
        <v>0</v>
      </c>
      <c r="AH477">
        <v>0</v>
      </c>
      <c r="AI477">
        <v>4.17</v>
      </c>
      <c r="AJ477">
        <v>1</v>
      </c>
      <c r="AK477">
        <v>1</v>
      </c>
      <c r="AL477">
        <v>1</v>
      </c>
      <c r="AN477">
        <v>0</v>
      </c>
      <c r="AO477">
        <v>1</v>
      </c>
      <c r="AP477">
        <v>0</v>
      </c>
      <c r="AQ477">
        <v>0</v>
      </c>
      <c r="AR477">
        <v>0</v>
      </c>
      <c r="AS477" t="s">
        <v>3</v>
      </c>
      <c r="AT477">
        <v>1200</v>
      </c>
      <c r="AU477" t="s">
        <v>3</v>
      </c>
      <c r="AV477">
        <v>0</v>
      </c>
      <c r="AW477">
        <v>2</v>
      </c>
      <c r="AX477">
        <v>48373357</v>
      </c>
      <c r="AY477">
        <v>1</v>
      </c>
      <c r="AZ477">
        <v>0</v>
      </c>
      <c r="BA477">
        <v>479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CX477">
        <f>Y477*Source!I188</f>
        <v>8.64</v>
      </c>
      <c r="CY477">
        <f t="shared" si="36"/>
        <v>15.6</v>
      </c>
      <c r="CZ477">
        <f t="shared" si="37"/>
        <v>3.74</v>
      </c>
      <c r="DA477">
        <f t="shared" si="38"/>
        <v>4.17</v>
      </c>
      <c r="DB477">
        <v>0</v>
      </c>
    </row>
    <row r="478" spans="1:106">
      <c r="A478">
        <f>ROW(Source!A188)</f>
        <v>188</v>
      </c>
      <c r="B478">
        <v>48370320</v>
      </c>
      <c r="C478">
        <v>48373335</v>
      </c>
      <c r="D478">
        <v>37731963</v>
      </c>
      <c r="E478">
        <v>1</v>
      </c>
      <c r="F478">
        <v>1</v>
      </c>
      <c r="G478">
        <v>1</v>
      </c>
      <c r="H478">
        <v>3</v>
      </c>
      <c r="I478" t="s">
        <v>679</v>
      </c>
      <c r="J478" t="s">
        <v>680</v>
      </c>
      <c r="K478" t="s">
        <v>681</v>
      </c>
      <c r="L478">
        <v>1327</v>
      </c>
      <c r="N478">
        <v>1005</v>
      </c>
      <c r="O478" t="s">
        <v>189</v>
      </c>
      <c r="P478" t="s">
        <v>189</v>
      </c>
      <c r="Q478">
        <v>1</v>
      </c>
      <c r="W478">
        <v>0</v>
      </c>
      <c r="X478">
        <v>-2127610453</v>
      </c>
      <c r="Y478">
        <v>102</v>
      </c>
      <c r="AA478">
        <v>413.45</v>
      </c>
      <c r="AB478">
        <v>0</v>
      </c>
      <c r="AC478">
        <v>0</v>
      </c>
      <c r="AD478">
        <v>0</v>
      </c>
      <c r="AE478">
        <v>142.57</v>
      </c>
      <c r="AF478">
        <v>0</v>
      </c>
      <c r="AG478">
        <v>0</v>
      </c>
      <c r="AH478">
        <v>0</v>
      </c>
      <c r="AI478">
        <v>2.9</v>
      </c>
      <c r="AJ478">
        <v>1</v>
      </c>
      <c r="AK478">
        <v>1</v>
      </c>
      <c r="AL478">
        <v>1</v>
      </c>
      <c r="AN478">
        <v>0</v>
      </c>
      <c r="AO478">
        <v>1</v>
      </c>
      <c r="AP478">
        <v>0</v>
      </c>
      <c r="AQ478">
        <v>0</v>
      </c>
      <c r="AR478">
        <v>0</v>
      </c>
      <c r="AS478" t="s">
        <v>3</v>
      </c>
      <c r="AT478">
        <v>102</v>
      </c>
      <c r="AU478" t="s">
        <v>3</v>
      </c>
      <c r="AV478">
        <v>0</v>
      </c>
      <c r="AW478">
        <v>2</v>
      </c>
      <c r="AX478">
        <v>48373358</v>
      </c>
      <c r="AY478">
        <v>1</v>
      </c>
      <c r="AZ478">
        <v>0</v>
      </c>
      <c r="BA478">
        <v>480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CX478">
        <f>Y478*Source!I188</f>
        <v>0.73439999999999994</v>
      </c>
      <c r="CY478">
        <f t="shared" si="36"/>
        <v>413.45</v>
      </c>
      <c r="CZ478">
        <f t="shared" si="37"/>
        <v>142.57</v>
      </c>
      <c r="DA478">
        <f t="shared" si="38"/>
        <v>2.9</v>
      </c>
      <c r="DB478">
        <v>0</v>
      </c>
    </row>
    <row r="479" spans="1:106">
      <c r="A479">
        <f>ROW(Source!A188)</f>
        <v>188</v>
      </c>
      <c r="B479">
        <v>48370320</v>
      </c>
      <c r="C479">
        <v>48373335</v>
      </c>
      <c r="D479">
        <v>37731442</v>
      </c>
      <c r="E479">
        <v>1</v>
      </c>
      <c r="F479">
        <v>1</v>
      </c>
      <c r="G479">
        <v>1</v>
      </c>
      <c r="H479">
        <v>3</v>
      </c>
      <c r="I479" t="s">
        <v>628</v>
      </c>
      <c r="J479" t="s">
        <v>629</v>
      </c>
      <c r="K479" t="s">
        <v>630</v>
      </c>
      <c r="L479">
        <v>1348</v>
      </c>
      <c r="N479">
        <v>1009</v>
      </c>
      <c r="O479" t="s">
        <v>536</v>
      </c>
      <c r="P479" t="s">
        <v>536</v>
      </c>
      <c r="Q479">
        <v>1000</v>
      </c>
      <c r="W479">
        <v>0</v>
      </c>
      <c r="X479">
        <v>-33111211</v>
      </c>
      <c r="Y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1</v>
      </c>
      <c r="AJ479">
        <v>1</v>
      </c>
      <c r="AK479">
        <v>1</v>
      </c>
      <c r="AL479">
        <v>1</v>
      </c>
      <c r="AN479">
        <v>1</v>
      </c>
      <c r="AO479">
        <v>0</v>
      </c>
      <c r="AP479">
        <v>0</v>
      </c>
      <c r="AQ479">
        <v>0</v>
      </c>
      <c r="AR479">
        <v>0</v>
      </c>
      <c r="AS479" t="s">
        <v>3</v>
      </c>
      <c r="AT479">
        <v>0</v>
      </c>
      <c r="AU479" t="s">
        <v>3</v>
      </c>
      <c r="AV479">
        <v>0</v>
      </c>
      <c r="AW479">
        <v>2</v>
      </c>
      <c r="AX479">
        <v>48373359</v>
      </c>
      <c r="AY479">
        <v>1</v>
      </c>
      <c r="AZ479">
        <v>0</v>
      </c>
      <c r="BA479">
        <v>481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CX479">
        <f>Y479*Source!I188</f>
        <v>0</v>
      </c>
      <c r="CY479">
        <f t="shared" si="36"/>
        <v>0</v>
      </c>
      <c r="CZ479">
        <f t="shared" si="37"/>
        <v>0</v>
      </c>
      <c r="DA479">
        <f t="shared" si="38"/>
        <v>1</v>
      </c>
      <c r="DB479">
        <v>0</v>
      </c>
    </row>
    <row r="480" spans="1:106">
      <c r="A480">
        <f>ROW(Source!A188)</f>
        <v>188</v>
      </c>
      <c r="B480">
        <v>48370320</v>
      </c>
      <c r="C480">
        <v>48373335</v>
      </c>
      <c r="D480">
        <v>37753185</v>
      </c>
      <c r="E480">
        <v>1</v>
      </c>
      <c r="F480">
        <v>1</v>
      </c>
      <c r="G480">
        <v>1</v>
      </c>
      <c r="H480">
        <v>3</v>
      </c>
      <c r="I480" t="s">
        <v>682</v>
      </c>
      <c r="J480" t="s">
        <v>683</v>
      </c>
      <c r="K480" t="s">
        <v>684</v>
      </c>
      <c r="L480">
        <v>1339</v>
      </c>
      <c r="N480">
        <v>1007</v>
      </c>
      <c r="O480" t="s">
        <v>543</v>
      </c>
      <c r="P480" t="s">
        <v>543</v>
      </c>
      <c r="Q480">
        <v>1</v>
      </c>
      <c r="W480">
        <v>0</v>
      </c>
      <c r="X480">
        <v>-2146135986</v>
      </c>
      <c r="Y480">
        <v>0.01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1</v>
      </c>
      <c r="AJ480">
        <v>1</v>
      </c>
      <c r="AK480">
        <v>1</v>
      </c>
      <c r="AL480">
        <v>1</v>
      </c>
      <c r="AN480">
        <v>0</v>
      </c>
      <c r="AO480">
        <v>0</v>
      </c>
      <c r="AP480">
        <v>0</v>
      </c>
      <c r="AQ480">
        <v>0</v>
      </c>
      <c r="AR480">
        <v>0</v>
      </c>
      <c r="AS480" t="s">
        <v>3</v>
      </c>
      <c r="AT480">
        <v>0.01</v>
      </c>
      <c r="AU480" t="s">
        <v>3</v>
      </c>
      <c r="AV480">
        <v>0</v>
      </c>
      <c r="AW480">
        <v>2</v>
      </c>
      <c r="AX480">
        <v>48373360</v>
      </c>
      <c r="AY480">
        <v>1</v>
      </c>
      <c r="AZ480">
        <v>0</v>
      </c>
      <c r="BA480">
        <v>482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CX480">
        <f>Y480*Source!I188</f>
        <v>7.2000000000000002E-5</v>
      </c>
      <c r="CY480">
        <f t="shared" si="36"/>
        <v>0</v>
      </c>
      <c r="CZ480">
        <f t="shared" si="37"/>
        <v>0</v>
      </c>
      <c r="DA480">
        <f t="shared" si="38"/>
        <v>1</v>
      </c>
      <c r="DB480">
        <v>0</v>
      </c>
    </row>
    <row r="481" spans="1:106">
      <c r="A481">
        <f>ROW(Source!A188)</f>
        <v>188</v>
      </c>
      <c r="B481">
        <v>48370320</v>
      </c>
      <c r="C481">
        <v>48373335</v>
      </c>
      <c r="D481">
        <v>37777802</v>
      </c>
      <c r="E481">
        <v>1</v>
      </c>
      <c r="F481">
        <v>1</v>
      </c>
      <c r="G481">
        <v>1</v>
      </c>
      <c r="H481">
        <v>3</v>
      </c>
      <c r="I481" t="s">
        <v>616</v>
      </c>
      <c r="J481" t="s">
        <v>617</v>
      </c>
      <c r="K481" t="s">
        <v>618</v>
      </c>
      <c r="L481">
        <v>1339</v>
      </c>
      <c r="N481">
        <v>1007</v>
      </c>
      <c r="O481" t="s">
        <v>543</v>
      </c>
      <c r="P481" t="s">
        <v>543</v>
      </c>
      <c r="Q481">
        <v>1</v>
      </c>
      <c r="W481">
        <v>0</v>
      </c>
      <c r="X481">
        <v>-1418712732</v>
      </c>
      <c r="Y481">
        <v>0.44</v>
      </c>
      <c r="AA481">
        <v>45.55</v>
      </c>
      <c r="AB481">
        <v>0</v>
      </c>
      <c r="AC481">
        <v>0</v>
      </c>
      <c r="AD481">
        <v>0</v>
      </c>
      <c r="AE481">
        <v>2.4700000000000002</v>
      </c>
      <c r="AF481">
        <v>0</v>
      </c>
      <c r="AG481">
        <v>0</v>
      </c>
      <c r="AH481">
        <v>0</v>
      </c>
      <c r="AI481">
        <v>18.440000000000001</v>
      </c>
      <c r="AJ481">
        <v>1</v>
      </c>
      <c r="AK481">
        <v>1</v>
      </c>
      <c r="AL481">
        <v>1</v>
      </c>
      <c r="AN481">
        <v>0</v>
      </c>
      <c r="AO481">
        <v>1</v>
      </c>
      <c r="AP481">
        <v>0</v>
      </c>
      <c r="AQ481">
        <v>0</v>
      </c>
      <c r="AR481">
        <v>0</v>
      </c>
      <c r="AS481" t="s">
        <v>3</v>
      </c>
      <c r="AT481">
        <v>0.44</v>
      </c>
      <c r="AU481" t="s">
        <v>3</v>
      </c>
      <c r="AV481">
        <v>0</v>
      </c>
      <c r="AW481">
        <v>2</v>
      </c>
      <c r="AX481">
        <v>48373361</v>
      </c>
      <c r="AY481">
        <v>1</v>
      </c>
      <c r="AZ481">
        <v>0</v>
      </c>
      <c r="BA481">
        <v>483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CX481">
        <f>Y481*Source!I188</f>
        <v>3.1679999999999998E-3</v>
      </c>
      <c r="CY481">
        <f t="shared" si="36"/>
        <v>45.55</v>
      </c>
      <c r="CZ481">
        <f t="shared" si="37"/>
        <v>2.4700000000000002</v>
      </c>
      <c r="DA481">
        <f t="shared" si="38"/>
        <v>18.440000000000001</v>
      </c>
      <c r="DB481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483"/>
  <sheetViews>
    <sheetView workbookViewId="0"/>
  </sheetViews>
  <sheetFormatPr defaultColWidth="9.109375" defaultRowHeight="13.2"/>
  <cols>
    <col min="1" max="256" width="9.109375" customWidth="1"/>
  </cols>
  <sheetData>
    <row r="1" spans="1:44">
      <c r="A1">
        <f>ROW(Source!A28)</f>
        <v>28</v>
      </c>
      <c r="B1">
        <v>48370398</v>
      </c>
      <c r="C1">
        <v>48370397</v>
      </c>
      <c r="D1">
        <v>23129536</v>
      </c>
      <c r="E1">
        <v>1</v>
      </c>
      <c r="F1">
        <v>1</v>
      </c>
      <c r="G1">
        <v>1</v>
      </c>
      <c r="H1">
        <v>1</v>
      </c>
      <c r="I1" t="s">
        <v>508</v>
      </c>
      <c r="J1" t="s">
        <v>3</v>
      </c>
      <c r="K1" t="s">
        <v>509</v>
      </c>
      <c r="L1">
        <v>1369</v>
      </c>
      <c r="N1">
        <v>1013</v>
      </c>
      <c r="O1" t="s">
        <v>510</v>
      </c>
      <c r="P1" t="s">
        <v>510</v>
      </c>
      <c r="Q1">
        <v>1</v>
      </c>
      <c r="X1">
        <v>8.24</v>
      </c>
      <c r="Y1">
        <v>0</v>
      </c>
      <c r="Z1">
        <v>0</v>
      </c>
      <c r="AA1">
        <v>0</v>
      </c>
      <c r="AB1">
        <v>8.2799999999999994</v>
      </c>
      <c r="AC1">
        <v>0</v>
      </c>
      <c r="AD1">
        <v>1</v>
      </c>
      <c r="AE1">
        <v>1</v>
      </c>
      <c r="AF1" t="s">
        <v>3</v>
      </c>
      <c r="AG1">
        <v>8.24</v>
      </c>
      <c r="AH1">
        <v>2</v>
      </c>
      <c r="AI1">
        <v>48370398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>
      <c r="A2">
        <f>ROW(Source!A28)</f>
        <v>28</v>
      </c>
      <c r="B2">
        <v>48370399</v>
      </c>
      <c r="C2">
        <v>48370397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24</v>
      </c>
      <c r="J2" t="s">
        <v>3</v>
      </c>
      <c r="K2" t="s">
        <v>511</v>
      </c>
      <c r="L2">
        <v>608254</v>
      </c>
      <c r="N2">
        <v>1013</v>
      </c>
      <c r="O2" t="s">
        <v>512</v>
      </c>
      <c r="P2" t="s">
        <v>512</v>
      </c>
      <c r="Q2">
        <v>1</v>
      </c>
      <c r="X2">
        <v>1.1499999999999999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1.1499999999999999</v>
      </c>
      <c r="AH2">
        <v>2</v>
      </c>
      <c r="AI2">
        <v>48370399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>
      <c r="A3">
        <f>ROW(Source!A28)</f>
        <v>28</v>
      </c>
      <c r="B3">
        <v>48370400</v>
      </c>
      <c r="C3">
        <v>48370397</v>
      </c>
      <c r="D3">
        <v>37802699</v>
      </c>
      <c r="E3">
        <v>1</v>
      </c>
      <c r="F3">
        <v>1</v>
      </c>
      <c r="G3">
        <v>1</v>
      </c>
      <c r="H3">
        <v>2</v>
      </c>
      <c r="I3" t="s">
        <v>513</v>
      </c>
      <c r="J3" t="s">
        <v>514</v>
      </c>
      <c r="K3" t="s">
        <v>515</v>
      </c>
      <c r="L3">
        <v>1368</v>
      </c>
      <c r="N3">
        <v>1011</v>
      </c>
      <c r="O3" t="s">
        <v>516</v>
      </c>
      <c r="P3" t="s">
        <v>516</v>
      </c>
      <c r="Q3">
        <v>1</v>
      </c>
      <c r="X3">
        <v>1.1499999999999999</v>
      </c>
      <c r="Y3">
        <v>0</v>
      </c>
      <c r="Z3">
        <v>59.38</v>
      </c>
      <c r="AA3">
        <v>9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1.1499999999999999</v>
      </c>
      <c r="AH3">
        <v>2</v>
      </c>
      <c r="AI3">
        <v>48370400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>
      <c r="A4">
        <f>ROW(Source!A28)</f>
        <v>28</v>
      </c>
      <c r="B4">
        <v>48370401</v>
      </c>
      <c r="C4">
        <v>48370397</v>
      </c>
      <c r="D4">
        <v>37804095</v>
      </c>
      <c r="E4">
        <v>1</v>
      </c>
      <c r="F4">
        <v>1</v>
      </c>
      <c r="G4">
        <v>1</v>
      </c>
      <c r="H4">
        <v>2</v>
      </c>
      <c r="I4" t="s">
        <v>517</v>
      </c>
      <c r="J4" t="s">
        <v>518</v>
      </c>
      <c r="K4" t="s">
        <v>519</v>
      </c>
      <c r="L4">
        <v>1368</v>
      </c>
      <c r="N4">
        <v>1011</v>
      </c>
      <c r="O4" t="s">
        <v>516</v>
      </c>
      <c r="P4" t="s">
        <v>516</v>
      </c>
      <c r="Q4">
        <v>1</v>
      </c>
      <c r="X4">
        <v>2.2999999999999998</v>
      </c>
      <c r="Y4">
        <v>0</v>
      </c>
      <c r="Z4">
        <v>1.69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2.2999999999999998</v>
      </c>
      <c r="AH4">
        <v>2</v>
      </c>
      <c r="AI4">
        <v>48370401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>
      <c r="A5">
        <f>ROW(Source!A29)</f>
        <v>29</v>
      </c>
      <c r="B5">
        <v>48370428</v>
      </c>
      <c r="C5">
        <v>48370427</v>
      </c>
      <c r="D5">
        <v>23134555</v>
      </c>
      <c r="E5">
        <v>1</v>
      </c>
      <c r="F5">
        <v>1</v>
      </c>
      <c r="G5">
        <v>1</v>
      </c>
      <c r="H5">
        <v>1</v>
      </c>
      <c r="I5" t="s">
        <v>520</v>
      </c>
      <c r="J5" t="s">
        <v>3</v>
      </c>
      <c r="K5" t="s">
        <v>521</v>
      </c>
      <c r="L5">
        <v>1369</v>
      </c>
      <c r="N5">
        <v>1013</v>
      </c>
      <c r="O5" t="s">
        <v>510</v>
      </c>
      <c r="P5" t="s">
        <v>510</v>
      </c>
      <c r="Q5">
        <v>1</v>
      </c>
      <c r="X5">
        <v>12.3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12.3</v>
      </c>
      <c r="AH5">
        <v>2</v>
      </c>
      <c r="AI5">
        <v>48370428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>
      <c r="A6">
        <f>ROW(Source!A29)</f>
        <v>29</v>
      </c>
      <c r="B6">
        <v>48370429</v>
      </c>
      <c r="C6">
        <v>48370427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24</v>
      </c>
      <c r="J6" t="s">
        <v>3</v>
      </c>
      <c r="K6" t="s">
        <v>511</v>
      </c>
      <c r="L6">
        <v>608254</v>
      </c>
      <c r="N6">
        <v>1013</v>
      </c>
      <c r="O6" t="s">
        <v>512</v>
      </c>
      <c r="P6" t="s">
        <v>512</v>
      </c>
      <c r="Q6">
        <v>1</v>
      </c>
      <c r="X6">
        <v>2.54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3</v>
      </c>
      <c r="AG6">
        <v>2.54</v>
      </c>
      <c r="AH6">
        <v>2</v>
      </c>
      <c r="AI6">
        <v>48370429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>
      <c r="A7">
        <f>ROW(Source!A29)</f>
        <v>29</v>
      </c>
      <c r="B7">
        <v>48370430</v>
      </c>
      <c r="C7">
        <v>48370427</v>
      </c>
      <c r="D7">
        <v>37802699</v>
      </c>
      <c r="E7">
        <v>1</v>
      </c>
      <c r="F7">
        <v>1</v>
      </c>
      <c r="G7">
        <v>1</v>
      </c>
      <c r="H7">
        <v>2</v>
      </c>
      <c r="I7" t="s">
        <v>513</v>
      </c>
      <c r="J7" t="s">
        <v>514</v>
      </c>
      <c r="K7" t="s">
        <v>515</v>
      </c>
      <c r="L7">
        <v>1368</v>
      </c>
      <c r="N7">
        <v>1011</v>
      </c>
      <c r="O7" t="s">
        <v>516</v>
      </c>
      <c r="P7" t="s">
        <v>516</v>
      </c>
      <c r="Q7">
        <v>1</v>
      </c>
      <c r="X7">
        <v>2.54</v>
      </c>
      <c r="Y7">
        <v>0</v>
      </c>
      <c r="Z7">
        <v>59.38</v>
      </c>
      <c r="AA7">
        <v>9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2.54</v>
      </c>
      <c r="AH7">
        <v>2</v>
      </c>
      <c r="AI7">
        <v>48370430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>
      <c r="A8">
        <f>ROW(Source!A29)</f>
        <v>29</v>
      </c>
      <c r="B8">
        <v>48370431</v>
      </c>
      <c r="C8">
        <v>48370427</v>
      </c>
      <c r="D8">
        <v>37804095</v>
      </c>
      <c r="E8">
        <v>1</v>
      </c>
      <c r="F8">
        <v>1</v>
      </c>
      <c r="G8">
        <v>1</v>
      </c>
      <c r="H8">
        <v>2</v>
      </c>
      <c r="I8" t="s">
        <v>517</v>
      </c>
      <c r="J8" t="s">
        <v>518</v>
      </c>
      <c r="K8" t="s">
        <v>519</v>
      </c>
      <c r="L8">
        <v>1368</v>
      </c>
      <c r="N8">
        <v>1011</v>
      </c>
      <c r="O8" t="s">
        <v>516</v>
      </c>
      <c r="P8" t="s">
        <v>516</v>
      </c>
      <c r="Q8">
        <v>1</v>
      </c>
      <c r="X8">
        <v>5.08</v>
      </c>
      <c r="Y8">
        <v>0</v>
      </c>
      <c r="Z8">
        <v>1.69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5.08</v>
      </c>
      <c r="AH8">
        <v>2</v>
      </c>
      <c r="AI8">
        <v>48370431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>
      <c r="A9">
        <f>ROW(Source!A30)</f>
        <v>30</v>
      </c>
      <c r="B9">
        <v>48370434</v>
      </c>
      <c r="C9">
        <v>48370433</v>
      </c>
      <c r="D9">
        <v>23134047</v>
      </c>
      <c r="E9">
        <v>1</v>
      </c>
      <c r="F9">
        <v>1</v>
      </c>
      <c r="G9">
        <v>1</v>
      </c>
      <c r="H9">
        <v>1</v>
      </c>
      <c r="I9" t="s">
        <v>522</v>
      </c>
      <c r="J9" t="s">
        <v>3</v>
      </c>
      <c r="K9" t="s">
        <v>523</v>
      </c>
      <c r="L9">
        <v>1369</v>
      </c>
      <c r="N9">
        <v>1013</v>
      </c>
      <c r="O9" t="s">
        <v>510</v>
      </c>
      <c r="P9" t="s">
        <v>510</v>
      </c>
      <c r="Q9">
        <v>1</v>
      </c>
      <c r="X9">
        <v>165.88</v>
      </c>
      <c r="Y9">
        <v>0</v>
      </c>
      <c r="Z9">
        <v>0</v>
      </c>
      <c r="AA9">
        <v>0</v>
      </c>
      <c r="AB9">
        <v>8.07</v>
      </c>
      <c r="AC9">
        <v>0</v>
      </c>
      <c r="AD9">
        <v>1</v>
      </c>
      <c r="AE9">
        <v>1</v>
      </c>
      <c r="AF9" t="s">
        <v>3</v>
      </c>
      <c r="AG9">
        <v>165.88</v>
      </c>
      <c r="AH9">
        <v>2</v>
      </c>
      <c r="AI9">
        <v>48370434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>
      <c r="A10">
        <f>ROW(Source!A30)</f>
        <v>30</v>
      </c>
      <c r="B10">
        <v>48370435</v>
      </c>
      <c r="C10">
        <v>48370433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24</v>
      </c>
      <c r="J10" t="s">
        <v>3</v>
      </c>
      <c r="K10" t="s">
        <v>511</v>
      </c>
      <c r="L10">
        <v>608254</v>
      </c>
      <c r="N10">
        <v>1013</v>
      </c>
      <c r="O10" t="s">
        <v>512</v>
      </c>
      <c r="P10" t="s">
        <v>512</v>
      </c>
      <c r="Q10">
        <v>1</v>
      </c>
      <c r="X10">
        <v>0.47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3</v>
      </c>
      <c r="AG10">
        <v>0.47</v>
      </c>
      <c r="AH10">
        <v>2</v>
      </c>
      <c r="AI10">
        <v>48370435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>
      <c r="A11">
        <f>ROW(Source!A30)</f>
        <v>30</v>
      </c>
      <c r="B11">
        <v>48370436</v>
      </c>
      <c r="C11">
        <v>48370433</v>
      </c>
      <c r="D11">
        <v>37802541</v>
      </c>
      <c r="E11">
        <v>1</v>
      </c>
      <c r="F11">
        <v>1</v>
      </c>
      <c r="G11">
        <v>1</v>
      </c>
      <c r="H11">
        <v>2</v>
      </c>
      <c r="I11" t="s">
        <v>524</v>
      </c>
      <c r="J11" t="s">
        <v>525</v>
      </c>
      <c r="K11" t="s">
        <v>526</v>
      </c>
      <c r="L11">
        <v>1368</v>
      </c>
      <c r="N11">
        <v>1011</v>
      </c>
      <c r="O11" t="s">
        <v>516</v>
      </c>
      <c r="P11" t="s">
        <v>516</v>
      </c>
      <c r="Q11">
        <v>1</v>
      </c>
      <c r="X11">
        <v>0.16</v>
      </c>
      <c r="Y11">
        <v>0</v>
      </c>
      <c r="Z11">
        <v>1.85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0.16</v>
      </c>
      <c r="AH11">
        <v>2</v>
      </c>
      <c r="AI11">
        <v>48370436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>
      <c r="A12">
        <f>ROW(Source!A30)</f>
        <v>30</v>
      </c>
      <c r="B12">
        <v>48370437</v>
      </c>
      <c r="C12">
        <v>48370433</v>
      </c>
      <c r="D12">
        <v>37802657</v>
      </c>
      <c r="E12">
        <v>1</v>
      </c>
      <c r="F12">
        <v>1</v>
      </c>
      <c r="G12">
        <v>1</v>
      </c>
      <c r="H12">
        <v>2</v>
      </c>
      <c r="I12" t="s">
        <v>527</v>
      </c>
      <c r="J12" t="s">
        <v>528</v>
      </c>
      <c r="K12" t="s">
        <v>529</v>
      </c>
      <c r="L12">
        <v>1368</v>
      </c>
      <c r="N12">
        <v>1011</v>
      </c>
      <c r="O12" t="s">
        <v>516</v>
      </c>
      <c r="P12" t="s">
        <v>516</v>
      </c>
      <c r="Q12">
        <v>1</v>
      </c>
      <c r="X12">
        <v>0.74</v>
      </c>
      <c r="Y12">
        <v>0</v>
      </c>
      <c r="Z12">
        <v>7.55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0.74</v>
      </c>
      <c r="AH12">
        <v>2</v>
      </c>
      <c r="AI12">
        <v>48370437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>
      <c r="A13">
        <f>ROW(Source!A30)</f>
        <v>30</v>
      </c>
      <c r="B13">
        <v>48370438</v>
      </c>
      <c r="C13">
        <v>48370433</v>
      </c>
      <c r="D13">
        <v>37802699</v>
      </c>
      <c r="E13">
        <v>1</v>
      </c>
      <c r="F13">
        <v>1</v>
      </c>
      <c r="G13">
        <v>1</v>
      </c>
      <c r="H13">
        <v>2</v>
      </c>
      <c r="I13" t="s">
        <v>513</v>
      </c>
      <c r="J13" t="s">
        <v>514</v>
      </c>
      <c r="K13" t="s">
        <v>515</v>
      </c>
      <c r="L13">
        <v>1368</v>
      </c>
      <c r="N13">
        <v>1011</v>
      </c>
      <c r="O13" t="s">
        <v>516</v>
      </c>
      <c r="P13" t="s">
        <v>516</v>
      </c>
      <c r="Q13">
        <v>1</v>
      </c>
      <c r="X13">
        <v>0.47</v>
      </c>
      <c r="Y13">
        <v>0</v>
      </c>
      <c r="Z13">
        <v>59.38</v>
      </c>
      <c r="AA13">
        <v>9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0.47</v>
      </c>
      <c r="AH13">
        <v>2</v>
      </c>
      <c r="AI13">
        <v>48370438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>
      <c r="A14">
        <f>ROW(Source!A30)</f>
        <v>30</v>
      </c>
      <c r="B14">
        <v>48370439</v>
      </c>
      <c r="C14">
        <v>48370433</v>
      </c>
      <c r="D14">
        <v>37804095</v>
      </c>
      <c r="E14">
        <v>1</v>
      </c>
      <c r="F14">
        <v>1</v>
      </c>
      <c r="G14">
        <v>1</v>
      </c>
      <c r="H14">
        <v>2</v>
      </c>
      <c r="I14" t="s">
        <v>517</v>
      </c>
      <c r="J14" t="s">
        <v>518</v>
      </c>
      <c r="K14" t="s">
        <v>519</v>
      </c>
      <c r="L14">
        <v>1368</v>
      </c>
      <c r="N14">
        <v>1011</v>
      </c>
      <c r="O14" t="s">
        <v>516</v>
      </c>
      <c r="P14" t="s">
        <v>516</v>
      </c>
      <c r="Q14">
        <v>1</v>
      </c>
      <c r="X14">
        <v>0.92</v>
      </c>
      <c r="Y14">
        <v>0</v>
      </c>
      <c r="Z14">
        <v>1.69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0.92</v>
      </c>
      <c r="AH14">
        <v>2</v>
      </c>
      <c r="AI14">
        <v>48370439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>
      <c r="A15">
        <f>ROW(Source!A30)</f>
        <v>30</v>
      </c>
      <c r="B15">
        <v>48370440</v>
      </c>
      <c r="C15">
        <v>48370433</v>
      </c>
      <c r="D15">
        <v>37804456</v>
      </c>
      <c r="E15">
        <v>1</v>
      </c>
      <c r="F15">
        <v>1</v>
      </c>
      <c r="G15">
        <v>1</v>
      </c>
      <c r="H15">
        <v>2</v>
      </c>
      <c r="I15" t="s">
        <v>530</v>
      </c>
      <c r="J15" t="s">
        <v>531</v>
      </c>
      <c r="K15" t="s">
        <v>532</v>
      </c>
      <c r="L15">
        <v>1368</v>
      </c>
      <c r="N15">
        <v>1011</v>
      </c>
      <c r="O15" t="s">
        <v>516</v>
      </c>
      <c r="P15" t="s">
        <v>516</v>
      </c>
      <c r="Q15">
        <v>1</v>
      </c>
      <c r="X15">
        <v>0.2</v>
      </c>
      <c r="Y15">
        <v>0</v>
      </c>
      <c r="Z15">
        <v>91.76</v>
      </c>
      <c r="AA15">
        <v>10.35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0.2</v>
      </c>
      <c r="AH15">
        <v>2</v>
      </c>
      <c r="AI15">
        <v>48370440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>
      <c r="A16">
        <f>ROW(Source!A30)</f>
        <v>30</v>
      </c>
      <c r="B16">
        <v>48370441</v>
      </c>
      <c r="C16">
        <v>48370433</v>
      </c>
      <c r="D16">
        <v>37736612</v>
      </c>
      <c r="E16">
        <v>1</v>
      </c>
      <c r="F16">
        <v>1</v>
      </c>
      <c r="G16">
        <v>1</v>
      </c>
      <c r="H16">
        <v>3</v>
      </c>
      <c r="I16" t="s">
        <v>533</v>
      </c>
      <c r="J16" t="s">
        <v>534</v>
      </c>
      <c r="K16" t="s">
        <v>535</v>
      </c>
      <c r="L16">
        <v>1348</v>
      </c>
      <c r="N16">
        <v>1009</v>
      </c>
      <c r="O16" t="s">
        <v>536</v>
      </c>
      <c r="P16" t="s">
        <v>536</v>
      </c>
      <c r="Q16">
        <v>1000</v>
      </c>
      <c r="X16">
        <v>8.9999999999999993E-3</v>
      </c>
      <c r="Y16">
        <v>9424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8.9999999999999993E-3</v>
      </c>
      <c r="AH16">
        <v>2</v>
      </c>
      <c r="AI16">
        <v>48370441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>
      <c r="A17">
        <f>ROW(Source!A30)</f>
        <v>30</v>
      </c>
      <c r="B17">
        <v>48370442</v>
      </c>
      <c r="C17">
        <v>48370433</v>
      </c>
      <c r="D17">
        <v>37751313</v>
      </c>
      <c r="E17">
        <v>1</v>
      </c>
      <c r="F17">
        <v>1</v>
      </c>
      <c r="G17">
        <v>1</v>
      </c>
      <c r="H17">
        <v>3</v>
      </c>
      <c r="I17" t="s">
        <v>537</v>
      </c>
      <c r="J17" t="s">
        <v>538</v>
      </c>
      <c r="K17" t="s">
        <v>539</v>
      </c>
      <c r="L17">
        <v>1348</v>
      </c>
      <c r="N17">
        <v>1009</v>
      </c>
      <c r="O17" t="s">
        <v>536</v>
      </c>
      <c r="P17" t="s">
        <v>536</v>
      </c>
      <c r="Q17">
        <v>1000</v>
      </c>
      <c r="X17">
        <v>1.04</v>
      </c>
      <c r="Y17">
        <v>8128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1.04</v>
      </c>
      <c r="AH17">
        <v>2</v>
      </c>
      <c r="AI17">
        <v>48370442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>
      <c r="A18">
        <f>ROW(Source!A30)</f>
        <v>30</v>
      </c>
      <c r="B18">
        <v>48370443</v>
      </c>
      <c r="C18">
        <v>48370433</v>
      </c>
      <c r="D18">
        <v>37768012</v>
      </c>
      <c r="E18">
        <v>1</v>
      </c>
      <c r="F18">
        <v>1</v>
      </c>
      <c r="G18">
        <v>1</v>
      </c>
      <c r="H18">
        <v>3</v>
      </c>
      <c r="I18" t="s">
        <v>540</v>
      </c>
      <c r="J18" t="s">
        <v>541</v>
      </c>
      <c r="K18" t="s">
        <v>542</v>
      </c>
      <c r="L18">
        <v>1339</v>
      </c>
      <c r="N18">
        <v>1007</v>
      </c>
      <c r="O18" t="s">
        <v>543</v>
      </c>
      <c r="P18" t="s">
        <v>543</v>
      </c>
      <c r="Q18">
        <v>1</v>
      </c>
      <c r="X18">
        <v>0.54</v>
      </c>
      <c r="Y18">
        <v>318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0.54</v>
      </c>
      <c r="AH18">
        <v>2</v>
      </c>
      <c r="AI18">
        <v>48370443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>
      <c r="A19">
        <f>ROW(Source!A30)</f>
        <v>30</v>
      </c>
      <c r="B19">
        <v>48370444</v>
      </c>
      <c r="C19">
        <v>48370433</v>
      </c>
      <c r="D19">
        <v>37776723</v>
      </c>
      <c r="E19">
        <v>1</v>
      </c>
      <c r="F19">
        <v>1</v>
      </c>
      <c r="G19">
        <v>1</v>
      </c>
      <c r="H19">
        <v>3</v>
      </c>
      <c r="I19" t="s">
        <v>544</v>
      </c>
      <c r="J19" t="s">
        <v>545</v>
      </c>
      <c r="K19" t="s">
        <v>546</v>
      </c>
      <c r="L19">
        <v>1356</v>
      </c>
      <c r="N19">
        <v>1010</v>
      </c>
      <c r="O19" t="s">
        <v>547</v>
      </c>
      <c r="P19" t="s">
        <v>547</v>
      </c>
      <c r="Q19">
        <v>1000</v>
      </c>
      <c r="X19">
        <v>0.56999999999999995</v>
      </c>
      <c r="Y19">
        <v>794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0.56999999999999995</v>
      </c>
      <c r="AH19">
        <v>2</v>
      </c>
      <c r="AI19">
        <v>48370444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>
      <c r="A20">
        <f>ROW(Source!A31)</f>
        <v>31</v>
      </c>
      <c r="B20">
        <v>48370449</v>
      </c>
      <c r="C20">
        <v>48370448</v>
      </c>
      <c r="D20">
        <v>23130498</v>
      </c>
      <c r="E20">
        <v>1</v>
      </c>
      <c r="F20">
        <v>1</v>
      </c>
      <c r="G20">
        <v>1</v>
      </c>
      <c r="H20">
        <v>1</v>
      </c>
      <c r="I20" t="s">
        <v>548</v>
      </c>
      <c r="J20" t="s">
        <v>3</v>
      </c>
      <c r="K20" t="s">
        <v>549</v>
      </c>
      <c r="L20">
        <v>1369</v>
      </c>
      <c r="N20">
        <v>1013</v>
      </c>
      <c r="O20" t="s">
        <v>510</v>
      </c>
      <c r="P20" t="s">
        <v>510</v>
      </c>
      <c r="Q20">
        <v>1</v>
      </c>
      <c r="X20">
        <v>74.3</v>
      </c>
      <c r="Y20">
        <v>0</v>
      </c>
      <c r="Z20">
        <v>0</v>
      </c>
      <c r="AA20">
        <v>0</v>
      </c>
      <c r="AB20">
        <v>7.36</v>
      </c>
      <c r="AC20">
        <v>0</v>
      </c>
      <c r="AD20">
        <v>1</v>
      </c>
      <c r="AE20">
        <v>1</v>
      </c>
      <c r="AF20" t="s">
        <v>3</v>
      </c>
      <c r="AG20">
        <v>74.3</v>
      </c>
      <c r="AH20">
        <v>2</v>
      </c>
      <c r="AI20">
        <v>48370449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>
      <c r="A21">
        <f>ROW(Source!A31)</f>
        <v>31</v>
      </c>
      <c r="B21">
        <v>48370450</v>
      </c>
      <c r="C21">
        <v>48370448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24</v>
      </c>
      <c r="J21" t="s">
        <v>3</v>
      </c>
      <c r="K21" t="s">
        <v>511</v>
      </c>
      <c r="L21">
        <v>608254</v>
      </c>
      <c r="N21">
        <v>1013</v>
      </c>
      <c r="O21" t="s">
        <v>512</v>
      </c>
      <c r="P21" t="s">
        <v>512</v>
      </c>
      <c r="Q21">
        <v>1</v>
      </c>
      <c r="X21">
        <v>1.99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1.99</v>
      </c>
      <c r="AH21">
        <v>2</v>
      </c>
      <c r="AI21">
        <v>48370450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>
      <c r="A22">
        <f>ROW(Source!A31)</f>
        <v>31</v>
      </c>
      <c r="B22">
        <v>48370451</v>
      </c>
      <c r="C22">
        <v>48370448</v>
      </c>
      <c r="D22">
        <v>37802578</v>
      </c>
      <c r="E22">
        <v>1</v>
      </c>
      <c r="F22">
        <v>1</v>
      </c>
      <c r="G22">
        <v>1</v>
      </c>
      <c r="H22">
        <v>2</v>
      </c>
      <c r="I22" t="s">
        <v>550</v>
      </c>
      <c r="J22" t="s">
        <v>551</v>
      </c>
      <c r="K22" t="s">
        <v>552</v>
      </c>
      <c r="L22">
        <v>1368</v>
      </c>
      <c r="N22">
        <v>1011</v>
      </c>
      <c r="O22" t="s">
        <v>516</v>
      </c>
      <c r="P22" t="s">
        <v>516</v>
      </c>
      <c r="Q22">
        <v>1</v>
      </c>
      <c r="X22">
        <v>0.35</v>
      </c>
      <c r="Y22">
        <v>0</v>
      </c>
      <c r="Z22">
        <v>32.090000000000003</v>
      </c>
      <c r="AA22">
        <v>12.1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0.35</v>
      </c>
      <c r="AH22">
        <v>2</v>
      </c>
      <c r="AI22">
        <v>48370451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>
      <c r="A23">
        <f>ROW(Source!A31)</f>
        <v>31</v>
      </c>
      <c r="B23">
        <v>48370452</v>
      </c>
      <c r="C23">
        <v>48370448</v>
      </c>
      <c r="D23">
        <v>37802699</v>
      </c>
      <c r="E23">
        <v>1</v>
      </c>
      <c r="F23">
        <v>1</v>
      </c>
      <c r="G23">
        <v>1</v>
      </c>
      <c r="H23">
        <v>2</v>
      </c>
      <c r="I23" t="s">
        <v>513</v>
      </c>
      <c r="J23" t="s">
        <v>514</v>
      </c>
      <c r="K23" t="s">
        <v>515</v>
      </c>
      <c r="L23">
        <v>1368</v>
      </c>
      <c r="N23">
        <v>1011</v>
      </c>
      <c r="O23" t="s">
        <v>516</v>
      </c>
      <c r="P23" t="s">
        <v>516</v>
      </c>
      <c r="Q23">
        <v>1</v>
      </c>
      <c r="X23">
        <v>1.64</v>
      </c>
      <c r="Y23">
        <v>0</v>
      </c>
      <c r="Z23">
        <v>59.38</v>
      </c>
      <c r="AA23">
        <v>9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1.64</v>
      </c>
      <c r="AH23">
        <v>2</v>
      </c>
      <c r="AI23">
        <v>48370452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>
      <c r="A24">
        <f>ROW(Source!A31)</f>
        <v>31</v>
      </c>
      <c r="B24">
        <v>48370453</v>
      </c>
      <c r="C24">
        <v>48370448</v>
      </c>
      <c r="D24">
        <v>37804095</v>
      </c>
      <c r="E24">
        <v>1</v>
      </c>
      <c r="F24">
        <v>1</v>
      </c>
      <c r="G24">
        <v>1</v>
      </c>
      <c r="H24">
        <v>2</v>
      </c>
      <c r="I24" t="s">
        <v>517</v>
      </c>
      <c r="J24" t="s">
        <v>518</v>
      </c>
      <c r="K24" t="s">
        <v>519</v>
      </c>
      <c r="L24">
        <v>1368</v>
      </c>
      <c r="N24">
        <v>1011</v>
      </c>
      <c r="O24" t="s">
        <v>516</v>
      </c>
      <c r="P24" t="s">
        <v>516</v>
      </c>
      <c r="Q24">
        <v>1</v>
      </c>
      <c r="X24">
        <v>3.28</v>
      </c>
      <c r="Y24">
        <v>0</v>
      </c>
      <c r="Z24">
        <v>1.69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3.28</v>
      </c>
      <c r="AH24">
        <v>2</v>
      </c>
      <c r="AI24">
        <v>48370453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>
      <c r="A25">
        <f>ROW(Source!A32)</f>
        <v>32</v>
      </c>
      <c r="B25">
        <v>48370461</v>
      </c>
      <c r="C25">
        <v>48370460</v>
      </c>
      <c r="D25">
        <v>23129805</v>
      </c>
      <c r="E25">
        <v>1</v>
      </c>
      <c r="F25">
        <v>1</v>
      </c>
      <c r="G25">
        <v>1</v>
      </c>
      <c r="H25">
        <v>1</v>
      </c>
      <c r="I25" t="s">
        <v>553</v>
      </c>
      <c r="J25" t="s">
        <v>3</v>
      </c>
      <c r="K25" t="s">
        <v>554</v>
      </c>
      <c r="L25">
        <v>1369</v>
      </c>
      <c r="N25">
        <v>1013</v>
      </c>
      <c r="O25" t="s">
        <v>510</v>
      </c>
      <c r="P25" t="s">
        <v>510</v>
      </c>
      <c r="Q25">
        <v>1</v>
      </c>
      <c r="X25">
        <v>69.87</v>
      </c>
      <c r="Y25">
        <v>0</v>
      </c>
      <c r="Z25">
        <v>0</v>
      </c>
      <c r="AA25">
        <v>0</v>
      </c>
      <c r="AB25">
        <v>7.97</v>
      </c>
      <c r="AC25">
        <v>0</v>
      </c>
      <c r="AD25">
        <v>1</v>
      </c>
      <c r="AE25">
        <v>1</v>
      </c>
      <c r="AF25" t="s">
        <v>3</v>
      </c>
      <c r="AG25">
        <v>69.87</v>
      </c>
      <c r="AH25">
        <v>2</v>
      </c>
      <c r="AI25">
        <v>48370461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>
      <c r="A26">
        <f>ROW(Source!A32)</f>
        <v>32</v>
      </c>
      <c r="B26">
        <v>48370462</v>
      </c>
      <c r="C26">
        <v>48370460</v>
      </c>
      <c r="D26">
        <v>121548</v>
      </c>
      <c r="E26">
        <v>1</v>
      </c>
      <c r="F26">
        <v>1</v>
      </c>
      <c r="G26">
        <v>1</v>
      </c>
      <c r="H26">
        <v>1</v>
      </c>
      <c r="I26" t="s">
        <v>24</v>
      </c>
      <c r="J26" t="s">
        <v>3</v>
      </c>
      <c r="K26" t="s">
        <v>511</v>
      </c>
      <c r="L26">
        <v>608254</v>
      </c>
      <c r="N26">
        <v>1013</v>
      </c>
      <c r="O26" t="s">
        <v>512</v>
      </c>
      <c r="P26" t="s">
        <v>512</v>
      </c>
      <c r="Q26">
        <v>1</v>
      </c>
      <c r="X26">
        <v>1.44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1.44</v>
      </c>
      <c r="AH26">
        <v>2</v>
      </c>
      <c r="AI26">
        <v>48370462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>
      <c r="A27">
        <f>ROW(Source!A32)</f>
        <v>32</v>
      </c>
      <c r="B27">
        <v>48370463</v>
      </c>
      <c r="C27">
        <v>48370460</v>
      </c>
      <c r="D27">
        <v>37802578</v>
      </c>
      <c r="E27">
        <v>1</v>
      </c>
      <c r="F27">
        <v>1</v>
      </c>
      <c r="G27">
        <v>1</v>
      </c>
      <c r="H27">
        <v>2</v>
      </c>
      <c r="I27" t="s">
        <v>550</v>
      </c>
      <c r="J27" t="s">
        <v>551</v>
      </c>
      <c r="K27" t="s">
        <v>552</v>
      </c>
      <c r="L27">
        <v>1368</v>
      </c>
      <c r="N27">
        <v>1011</v>
      </c>
      <c r="O27" t="s">
        <v>516</v>
      </c>
      <c r="P27" t="s">
        <v>516</v>
      </c>
      <c r="Q27">
        <v>1</v>
      </c>
      <c r="X27">
        <v>1.44</v>
      </c>
      <c r="Y27">
        <v>0</v>
      </c>
      <c r="Z27">
        <v>32.090000000000003</v>
      </c>
      <c r="AA27">
        <v>12.1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1.44</v>
      </c>
      <c r="AH27">
        <v>2</v>
      </c>
      <c r="AI27">
        <v>48370463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>
      <c r="A28">
        <f>ROW(Source!A32)</f>
        <v>32</v>
      </c>
      <c r="B28">
        <v>48370464</v>
      </c>
      <c r="C28">
        <v>48370460</v>
      </c>
      <c r="D28">
        <v>37792787</v>
      </c>
      <c r="E28">
        <v>1</v>
      </c>
      <c r="F28">
        <v>1</v>
      </c>
      <c r="G28">
        <v>1</v>
      </c>
      <c r="H28">
        <v>3</v>
      </c>
      <c r="I28" t="s">
        <v>555</v>
      </c>
      <c r="J28" t="s">
        <v>556</v>
      </c>
      <c r="K28" t="s">
        <v>557</v>
      </c>
      <c r="L28">
        <v>1348</v>
      </c>
      <c r="N28">
        <v>1009</v>
      </c>
      <c r="O28" t="s">
        <v>536</v>
      </c>
      <c r="P28" t="s">
        <v>536</v>
      </c>
      <c r="Q28">
        <v>1000</v>
      </c>
      <c r="X28">
        <v>5.2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 t="s">
        <v>3</v>
      </c>
      <c r="AG28">
        <v>5.2</v>
      </c>
      <c r="AH28">
        <v>2</v>
      </c>
      <c r="AI28">
        <v>48370464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>
      <c r="A29">
        <f>ROW(Source!A33)</f>
        <v>33</v>
      </c>
      <c r="B29">
        <v>48370471</v>
      </c>
      <c r="C29">
        <v>48370470</v>
      </c>
      <c r="D29">
        <v>23132616</v>
      </c>
      <c r="E29">
        <v>1</v>
      </c>
      <c r="F29">
        <v>1</v>
      </c>
      <c r="G29">
        <v>1</v>
      </c>
      <c r="H29">
        <v>1</v>
      </c>
      <c r="I29" t="s">
        <v>558</v>
      </c>
      <c r="J29" t="s">
        <v>3</v>
      </c>
      <c r="K29" t="s">
        <v>559</v>
      </c>
      <c r="L29">
        <v>1369</v>
      </c>
      <c r="N29">
        <v>1013</v>
      </c>
      <c r="O29" t="s">
        <v>510</v>
      </c>
      <c r="P29" t="s">
        <v>510</v>
      </c>
      <c r="Q29">
        <v>1</v>
      </c>
      <c r="X29">
        <v>103.91</v>
      </c>
      <c r="Y29">
        <v>0</v>
      </c>
      <c r="Z29">
        <v>0</v>
      </c>
      <c r="AA29">
        <v>0</v>
      </c>
      <c r="AB29">
        <v>7.56</v>
      </c>
      <c r="AC29">
        <v>0</v>
      </c>
      <c r="AD29">
        <v>1</v>
      </c>
      <c r="AE29">
        <v>1</v>
      </c>
      <c r="AF29" t="s">
        <v>3</v>
      </c>
      <c r="AG29">
        <v>103.91</v>
      </c>
      <c r="AH29">
        <v>2</v>
      </c>
      <c r="AI29">
        <v>48370471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>
      <c r="A30">
        <f>ROW(Source!A33)</f>
        <v>33</v>
      </c>
      <c r="B30">
        <v>48370472</v>
      </c>
      <c r="C30">
        <v>48370470</v>
      </c>
      <c r="D30">
        <v>121548</v>
      </c>
      <c r="E30">
        <v>1</v>
      </c>
      <c r="F30">
        <v>1</v>
      </c>
      <c r="G30">
        <v>1</v>
      </c>
      <c r="H30">
        <v>1</v>
      </c>
      <c r="I30" t="s">
        <v>24</v>
      </c>
      <c r="J30" t="s">
        <v>3</v>
      </c>
      <c r="K30" t="s">
        <v>511</v>
      </c>
      <c r="L30">
        <v>608254</v>
      </c>
      <c r="N30">
        <v>1013</v>
      </c>
      <c r="O30" t="s">
        <v>512</v>
      </c>
      <c r="P30" t="s">
        <v>512</v>
      </c>
      <c r="Q30">
        <v>1</v>
      </c>
      <c r="X30">
        <v>7.74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3</v>
      </c>
      <c r="AG30">
        <v>7.74</v>
      </c>
      <c r="AH30">
        <v>2</v>
      </c>
      <c r="AI30">
        <v>48370472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>
      <c r="A31">
        <f>ROW(Source!A33)</f>
        <v>33</v>
      </c>
      <c r="B31">
        <v>48370473</v>
      </c>
      <c r="C31">
        <v>48370470</v>
      </c>
      <c r="D31">
        <v>37802578</v>
      </c>
      <c r="E31">
        <v>1</v>
      </c>
      <c r="F31">
        <v>1</v>
      </c>
      <c r="G31">
        <v>1</v>
      </c>
      <c r="H31">
        <v>2</v>
      </c>
      <c r="I31" t="s">
        <v>550</v>
      </c>
      <c r="J31" t="s">
        <v>551</v>
      </c>
      <c r="K31" t="s">
        <v>552</v>
      </c>
      <c r="L31">
        <v>1368</v>
      </c>
      <c r="N31">
        <v>1011</v>
      </c>
      <c r="O31" t="s">
        <v>516</v>
      </c>
      <c r="P31" t="s">
        <v>516</v>
      </c>
      <c r="Q31">
        <v>1</v>
      </c>
      <c r="X31">
        <v>7.74</v>
      </c>
      <c r="Y31">
        <v>0</v>
      </c>
      <c r="Z31">
        <v>32.090000000000003</v>
      </c>
      <c r="AA31">
        <v>12.1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7.74</v>
      </c>
      <c r="AH31">
        <v>2</v>
      </c>
      <c r="AI31">
        <v>48370473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>
      <c r="A32">
        <f>ROW(Source!A34)</f>
        <v>34</v>
      </c>
      <c r="B32">
        <v>48370481</v>
      </c>
      <c r="C32">
        <v>48370480</v>
      </c>
      <c r="D32">
        <v>23129555</v>
      </c>
      <c r="E32">
        <v>1</v>
      </c>
      <c r="F32">
        <v>1</v>
      </c>
      <c r="G32">
        <v>1</v>
      </c>
      <c r="H32">
        <v>1</v>
      </c>
      <c r="I32" t="s">
        <v>560</v>
      </c>
      <c r="J32" t="s">
        <v>3</v>
      </c>
      <c r="K32" t="s">
        <v>561</v>
      </c>
      <c r="L32">
        <v>1369</v>
      </c>
      <c r="N32">
        <v>1013</v>
      </c>
      <c r="O32" t="s">
        <v>510</v>
      </c>
      <c r="P32" t="s">
        <v>510</v>
      </c>
      <c r="Q32">
        <v>1</v>
      </c>
      <c r="X32">
        <v>22.82</v>
      </c>
      <c r="Y32">
        <v>0</v>
      </c>
      <c r="Z32">
        <v>0</v>
      </c>
      <c r="AA32">
        <v>0</v>
      </c>
      <c r="AB32">
        <v>7.29</v>
      </c>
      <c r="AC32">
        <v>0</v>
      </c>
      <c r="AD32">
        <v>1</v>
      </c>
      <c r="AE32">
        <v>1</v>
      </c>
      <c r="AF32" t="s">
        <v>3</v>
      </c>
      <c r="AG32">
        <v>22.82</v>
      </c>
      <c r="AH32">
        <v>2</v>
      </c>
      <c r="AI32">
        <v>48370481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>
      <c r="A33">
        <f>ROW(Source!A35)</f>
        <v>35</v>
      </c>
      <c r="B33">
        <v>48370485</v>
      </c>
      <c r="C33">
        <v>48370484</v>
      </c>
      <c r="D33">
        <v>23131038</v>
      </c>
      <c r="E33">
        <v>1</v>
      </c>
      <c r="F33">
        <v>1</v>
      </c>
      <c r="G33">
        <v>1</v>
      </c>
      <c r="H33">
        <v>1</v>
      </c>
      <c r="I33" t="s">
        <v>562</v>
      </c>
      <c r="J33" t="s">
        <v>3</v>
      </c>
      <c r="K33" t="s">
        <v>563</v>
      </c>
      <c r="L33">
        <v>1369</v>
      </c>
      <c r="N33">
        <v>1013</v>
      </c>
      <c r="O33" t="s">
        <v>510</v>
      </c>
      <c r="P33" t="s">
        <v>510</v>
      </c>
      <c r="Q33">
        <v>1</v>
      </c>
      <c r="X33">
        <v>17.89</v>
      </c>
      <c r="Y33">
        <v>0</v>
      </c>
      <c r="Z33">
        <v>0</v>
      </c>
      <c r="AA33">
        <v>0</v>
      </c>
      <c r="AB33">
        <v>7.49</v>
      </c>
      <c r="AC33">
        <v>0</v>
      </c>
      <c r="AD33">
        <v>1</v>
      </c>
      <c r="AE33">
        <v>1</v>
      </c>
      <c r="AF33" t="s">
        <v>3</v>
      </c>
      <c r="AG33">
        <v>17.89</v>
      </c>
      <c r="AH33">
        <v>2</v>
      </c>
      <c r="AI33">
        <v>48370485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>
      <c r="A34">
        <f>ROW(Source!A35)</f>
        <v>35</v>
      </c>
      <c r="B34">
        <v>48370486</v>
      </c>
      <c r="C34">
        <v>48370484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24</v>
      </c>
      <c r="J34" t="s">
        <v>3</v>
      </c>
      <c r="K34" t="s">
        <v>511</v>
      </c>
      <c r="L34">
        <v>608254</v>
      </c>
      <c r="N34">
        <v>1013</v>
      </c>
      <c r="O34" t="s">
        <v>512</v>
      </c>
      <c r="P34" t="s">
        <v>512</v>
      </c>
      <c r="Q34">
        <v>1</v>
      </c>
      <c r="X34">
        <v>0.08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3</v>
      </c>
      <c r="AG34">
        <v>0.08</v>
      </c>
      <c r="AH34">
        <v>2</v>
      </c>
      <c r="AI34">
        <v>48370486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>
      <c r="A35">
        <f>ROW(Source!A35)</f>
        <v>35</v>
      </c>
      <c r="B35">
        <v>48370487</v>
      </c>
      <c r="C35">
        <v>48370484</v>
      </c>
      <c r="D35">
        <v>37802578</v>
      </c>
      <c r="E35">
        <v>1</v>
      </c>
      <c r="F35">
        <v>1</v>
      </c>
      <c r="G35">
        <v>1</v>
      </c>
      <c r="H35">
        <v>2</v>
      </c>
      <c r="I35" t="s">
        <v>550</v>
      </c>
      <c r="J35" t="s">
        <v>551</v>
      </c>
      <c r="K35" t="s">
        <v>552</v>
      </c>
      <c r="L35">
        <v>1368</v>
      </c>
      <c r="N35">
        <v>1011</v>
      </c>
      <c r="O35" t="s">
        <v>516</v>
      </c>
      <c r="P35" t="s">
        <v>516</v>
      </c>
      <c r="Q35">
        <v>1</v>
      </c>
      <c r="X35">
        <v>0.08</v>
      </c>
      <c r="Y35">
        <v>0</v>
      </c>
      <c r="Z35">
        <v>32.090000000000003</v>
      </c>
      <c r="AA35">
        <v>12.1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0.08</v>
      </c>
      <c r="AH35">
        <v>2</v>
      </c>
      <c r="AI35">
        <v>48370487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>
      <c r="A36">
        <f>ROW(Source!A36)</f>
        <v>36</v>
      </c>
      <c r="B36">
        <v>48370492</v>
      </c>
      <c r="C36">
        <v>48370491</v>
      </c>
      <c r="D36">
        <v>23129805</v>
      </c>
      <c r="E36">
        <v>1</v>
      </c>
      <c r="F36">
        <v>1</v>
      </c>
      <c r="G36">
        <v>1</v>
      </c>
      <c r="H36">
        <v>1</v>
      </c>
      <c r="I36" t="s">
        <v>553</v>
      </c>
      <c r="J36" t="s">
        <v>3</v>
      </c>
      <c r="K36" t="s">
        <v>554</v>
      </c>
      <c r="L36">
        <v>1369</v>
      </c>
      <c r="N36">
        <v>1013</v>
      </c>
      <c r="O36" t="s">
        <v>510</v>
      </c>
      <c r="P36" t="s">
        <v>510</v>
      </c>
      <c r="Q36">
        <v>1</v>
      </c>
      <c r="X36">
        <v>63.84</v>
      </c>
      <c r="Y36">
        <v>0</v>
      </c>
      <c r="Z36">
        <v>0</v>
      </c>
      <c r="AA36">
        <v>0</v>
      </c>
      <c r="AB36">
        <v>7.97</v>
      </c>
      <c r="AC36">
        <v>0</v>
      </c>
      <c r="AD36">
        <v>1</v>
      </c>
      <c r="AE36">
        <v>1</v>
      </c>
      <c r="AF36" t="s">
        <v>3</v>
      </c>
      <c r="AG36">
        <v>63.84</v>
      </c>
      <c r="AH36">
        <v>2</v>
      </c>
      <c r="AI36">
        <v>48370492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>
      <c r="A37">
        <f>ROW(Source!A36)</f>
        <v>36</v>
      </c>
      <c r="B37">
        <v>48370493</v>
      </c>
      <c r="C37">
        <v>48370491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24</v>
      </c>
      <c r="J37" t="s">
        <v>3</v>
      </c>
      <c r="K37" t="s">
        <v>511</v>
      </c>
      <c r="L37">
        <v>608254</v>
      </c>
      <c r="N37">
        <v>1013</v>
      </c>
      <c r="O37" t="s">
        <v>512</v>
      </c>
      <c r="P37" t="s">
        <v>512</v>
      </c>
      <c r="Q37">
        <v>1</v>
      </c>
      <c r="X37">
        <v>0.28999999999999998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2</v>
      </c>
      <c r="AF37" t="s">
        <v>3</v>
      </c>
      <c r="AG37">
        <v>0.28999999999999998</v>
      </c>
      <c r="AH37">
        <v>2</v>
      </c>
      <c r="AI37">
        <v>48370493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>
      <c r="A38">
        <f>ROW(Source!A36)</f>
        <v>36</v>
      </c>
      <c r="B38">
        <v>48370494</v>
      </c>
      <c r="C38">
        <v>48370491</v>
      </c>
      <c r="D38">
        <v>37802578</v>
      </c>
      <c r="E38">
        <v>1</v>
      </c>
      <c r="F38">
        <v>1</v>
      </c>
      <c r="G38">
        <v>1</v>
      </c>
      <c r="H38">
        <v>2</v>
      </c>
      <c r="I38" t="s">
        <v>550</v>
      </c>
      <c r="J38" t="s">
        <v>551</v>
      </c>
      <c r="K38" t="s">
        <v>552</v>
      </c>
      <c r="L38">
        <v>1368</v>
      </c>
      <c r="N38">
        <v>1011</v>
      </c>
      <c r="O38" t="s">
        <v>516</v>
      </c>
      <c r="P38" t="s">
        <v>516</v>
      </c>
      <c r="Q38">
        <v>1</v>
      </c>
      <c r="X38">
        <v>0.28999999999999998</v>
      </c>
      <c r="Y38">
        <v>0</v>
      </c>
      <c r="Z38">
        <v>32.090000000000003</v>
      </c>
      <c r="AA38">
        <v>12.1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0.28999999999999998</v>
      </c>
      <c r="AH38">
        <v>2</v>
      </c>
      <c r="AI38">
        <v>48370494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>
      <c r="A39">
        <f>ROW(Source!A36)</f>
        <v>36</v>
      </c>
      <c r="B39">
        <v>48370495</v>
      </c>
      <c r="C39">
        <v>48370491</v>
      </c>
      <c r="D39">
        <v>37792788</v>
      </c>
      <c r="E39">
        <v>1</v>
      </c>
      <c r="F39">
        <v>1</v>
      </c>
      <c r="G39">
        <v>1</v>
      </c>
      <c r="H39">
        <v>3</v>
      </c>
      <c r="I39" t="s">
        <v>564</v>
      </c>
      <c r="J39" t="s">
        <v>565</v>
      </c>
      <c r="K39" t="s">
        <v>566</v>
      </c>
      <c r="L39">
        <v>1348</v>
      </c>
      <c r="N39">
        <v>1009</v>
      </c>
      <c r="O39" t="s">
        <v>536</v>
      </c>
      <c r="P39" t="s">
        <v>536</v>
      </c>
      <c r="Q39">
        <v>1000</v>
      </c>
      <c r="X39">
        <v>2.65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 t="s">
        <v>3</v>
      </c>
      <c r="AG39">
        <v>2.65</v>
      </c>
      <c r="AH39">
        <v>2</v>
      </c>
      <c r="AI39">
        <v>48370495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>
      <c r="A40">
        <f>ROW(Source!A37)</f>
        <v>37</v>
      </c>
      <c r="B40">
        <v>48370597</v>
      </c>
      <c r="C40">
        <v>48370596</v>
      </c>
      <c r="D40">
        <v>23129805</v>
      </c>
      <c r="E40">
        <v>1</v>
      </c>
      <c r="F40">
        <v>1</v>
      </c>
      <c r="G40">
        <v>1</v>
      </c>
      <c r="H40">
        <v>1</v>
      </c>
      <c r="I40" t="s">
        <v>553</v>
      </c>
      <c r="J40" t="s">
        <v>3</v>
      </c>
      <c r="K40" t="s">
        <v>554</v>
      </c>
      <c r="L40">
        <v>1369</v>
      </c>
      <c r="N40">
        <v>1013</v>
      </c>
      <c r="O40" t="s">
        <v>510</v>
      </c>
      <c r="P40" t="s">
        <v>510</v>
      </c>
      <c r="Q40">
        <v>1</v>
      </c>
      <c r="X40">
        <v>51.3</v>
      </c>
      <c r="Y40">
        <v>0</v>
      </c>
      <c r="Z40">
        <v>0</v>
      </c>
      <c r="AA40">
        <v>0</v>
      </c>
      <c r="AB40">
        <v>7.97</v>
      </c>
      <c r="AC40">
        <v>0</v>
      </c>
      <c r="AD40">
        <v>1</v>
      </c>
      <c r="AE40">
        <v>1</v>
      </c>
      <c r="AF40" t="s">
        <v>3</v>
      </c>
      <c r="AG40">
        <v>51.3</v>
      </c>
      <c r="AH40">
        <v>2</v>
      </c>
      <c r="AI40">
        <v>48370597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>
      <c r="A41">
        <f>ROW(Source!A37)</f>
        <v>37</v>
      </c>
      <c r="B41">
        <v>48370598</v>
      </c>
      <c r="C41">
        <v>48370596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24</v>
      </c>
      <c r="J41" t="s">
        <v>3</v>
      </c>
      <c r="K41" t="s">
        <v>511</v>
      </c>
      <c r="L41">
        <v>608254</v>
      </c>
      <c r="N41">
        <v>1013</v>
      </c>
      <c r="O41" t="s">
        <v>512</v>
      </c>
      <c r="P41" t="s">
        <v>512</v>
      </c>
      <c r="Q41">
        <v>1</v>
      </c>
      <c r="X41">
        <v>0.26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F41" t="s">
        <v>3</v>
      </c>
      <c r="AG41">
        <v>0.26</v>
      </c>
      <c r="AH41">
        <v>2</v>
      </c>
      <c r="AI41">
        <v>48370598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>
      <c r="A42">
        <f>ROW(Source!A37)</f>
        <v>37</v>
      </c>
      <c r="B42">
        <v>48370599</v>
      </c>
      <c r="C42">
        <v>48370596</v>
      </c>
      <c r="D42">
        <v>37802578</v>
      </c>
      <c r="E42">
        <v>1</v>
      </c>
      <c r="F42">
        <v>1</v>
      </c>
      <c r="G42">
        <v>1</v>
      </c>
      <c r="H42">
        <v>2</v>
      </c>
      <c r="I42" t="s">
        <v>550</v>
      </c>
      <c r="J42" t="s">
        <v>551</v>
      </c>
      <c r="K42" t="s">
        <v>552</v>
      </c>
      <c r="L42">
        <v>1368</v>
      </c>
      <c r="N42">
        <v>1011</v>
      </c>
      <c r="O42" t="s">
        <v>516</v>
      </c>
      <c r="P42" t="s">
        <v>516</v>
      </c>
      <c r="Q42">
        <v>1</v>
      </c>
      <c r="X42">
        <v>0.26</v>
      </c>
      <c r="Y42">
        <v>0</v>
      </c>
      <c r="Z42">
        <v>32.090000000000003</v>
      </c>
      <c r="AA42">
        <v>12.1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0.26</v>
      </c>
      <c r="AH42">
        <v>2</v>
      </c>
      <c r="AI42">
        <v>48370599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>
      <c r="A43">
        <f>ROW(Source!A37)</f>
        <v>37</v>
      </c>
      <c r="B43">
        <v>48370600</v>
      </c>
      <c r="C43">
        <v>48370596</v>
      </c>
      <c r="D43">
        <v>37792788</v>
      </c>
      <c r="E43">
        <v>1</v>
      </c>
      <c r="F43">
        <v>1</v>
      </c>
      <c r="G43">
        <v>1</v>
      </c>
      <c r="H43">
        <v>3</v>
      </c>
      <c r="I43" t="s">
        <v>564</v>
      </c>
      <c r="J43" t="s">
        <v>565</v>
      </c>
      <c r="K43" t="s">
        <v>566</v>
      </c>
      <c r="L43">
        <v>1348</v>
      </c>
      <c r="N43">
        <v>1009</v>
      </c>
      <c r="O43" t="s">
        <v>536</v>
      </c>
      <c r="P43" t="s">
        <v>536</v>
      </c>
      <c r="Q43">
        <v>1000</v>
      </c>
      <c r="X43">
        <v>1.82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 t="s">
        <v>3</v>
      </c>
      <c r="AG43">
        <v>1.82</v>
      </c>
      <c r="AH43">
        <v>2</v>
      </c>
      <c r="AI43">
        <v>48370600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>
      <c r="A44">
        <f>ROW(Source!A38)</f>
        <v>38</v>
      </c>
      <c r="B44">
        <v>48370637</v>
      </c>
      <c r="C44">
        <v>48370636</v>
      </c>
      <c r="D44">
        <v>23134664</v>
      </c>
      <c r="E44">
        <v>1</v>
      </c>
      <c r="F44">
        <v>1</v>
      </c>
      <c r="G44">
        <v>1</v>
      </c>
      <c r="H44">
        <v>1</v>
      </c>
      <c r="I44" t="s">
        <v>567</v>
      </c>
      <c r="J44" t="s">
        <v>3</v>
      </c>
      <c r="K44" t="s">
        <v>568</v>
      </c>
      <c r="L44">
        <v>1369</v>
      </c>
      <c r="N44">
        <v>1013</v>
      </c>
      <c r="O44" t="s">
        <v>510</v>
      </c>
      <c r="P44" t="s">
        <v>510</v>
      </c>
      <c r="Q44">
        <v>1</v>
      </c>
      <c r="X44">
        <v>35.43</v>
      </c>
      <c r="Y44">
        <v>0</v>
      </c>
      <c r="Z44">
        <v>0</v>
      </c>
      <c r="AA44">
        <v>0</v>
      </c>
      <c r="AB44">
        <v>8.89</v>
      </c>
      <c r="AC44">
        <v>0</v>
      </c>
      <c r="AD44">
        <v>1</v>
      </c>
      <c r="AE44">
        <v>1</v>
      </c>
      <c r="AF44" t="s">
        <v>85</v>
      </c>
      <c r="AG44">
        <v>68.202750000000009</v>
      </c>
      <c r="AH44">
        <v>2</v>
      </c>
      <c r="AI44">
        <v>48370637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>
      <c r="A45">
        <f>ROW(Source!A38)</f>
        <v>38</v>
      </c>
      <c r="B45">
        <v>48370638</v>
      </c>
      <c r="C45">
        <v>48370636</v>
      </c>
      <c r="D45">
        <v>121548</v>
      </c>
      <c r="E45">
        <v>1</v>
      </c>
      <c r="F45">
        <v>1</v>
      </c>
      <c r="G45">
        <v>1</v>
      </c>
      <c r="H45">
        <v>1</v>
      </c>
      <c r="I45" t="s">
        <v>24</v>
      </c>
      <c r="J45" t="s">
        <v>3</v>
      </c>
      <c r="K45" t="s">
        <v>511</v>
      </c>
      <c r="L45">
        <v>608254</v>
      </c>
      <c r="N45">
        <v>1013</v>
      </c>
      <c r="O45" t="s">
        <v>512</v>
      </c>
      <c r="P45" t="s">
        <v>512</v>
      </c>
      <c r="Q45">
        <v>1</v>
      </c>
      <c r="X45">
        <v>8.99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2</v>
      </c>
      <c r="AF45" t="s">
        <v>85</v>
      </c>
      <c r="AG45">
        <v>17.305750000000003</v>
      </c>
      <c r="AH45">
        <v>2</v>
      </c>
      <c r="AI45">
        <v>48370638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>
      <c r="A46">
        <f>ROW(Source!A38)</f>
        <v>38</v>
      </c>
      <c r="B46">
        <v>48370639</v>
      </c>
      <c r="C46">
        <v>48370636</v>
      </c>
      <c r="D46">
        <v>37802699</v>
      </c>
      <c r="E46">
        <v>1</v>
      </c>
      <c r="F46">
        <v>1</v>
      </c>
      <c r="G46">
        <v>1</v>
      </c>
      <c r="H46">
        <v>2</v>
      </c>
      <c r="I46" t="s">
        <v>513</v>
      </c>
      <c r="J46" t="s">
        <v>514</v>
      </c>
      <c r="K46" t="s">
        <v>515</v>
      </c>
      <c r="L46">
        <v>1368</v>
      </c>
      <c r="N46">
        <v>1011</v>
      </c>
      <c r="O46" t="s">
        <v>516</v>
      </c>
      <c r="P46" t="s">
        <v>516</v>
      </c>
      <c r="Q46">
        <v>1</v>
      </c>
      <c r="X46">
        <v>8.99</v>
      </c>
      <c r="Y46">
        <v>0</v>
      </c>
      <c r="Z46">
        <v>59.38</v>
      </c>
      <c r="AA46">
        <v>9</v>
      </c>
      <c r="AB46">
        <v>0</v>
      </c>
      <c r="AC46">
        <v>0</v>
      </c>
      <c r="AD46">
        <v>1</v>
      </c>
      <c r="AE46">
        <v>0</v>
      </c>
      <c r="AF46" t="s">
        <v>85</v>
      </c>
      <c r="AG46">
        <v>17.305750000000003</v>
      </c>
      <c r="AH46">
        <v>2</v>
      </c>
      <c r="AI46">
        <v>48370639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>
      <c r="A47">
        <f>ROW(Source!A38)</f>
        <v>38</v>
      </c>
      <c r="B47">
        <v>48370640</v>
      </c>
      <c r="C47">
        <v>48370636</v>
      </c>
      <c r="D47">
        <v>37804095</v>
      </c>
      <c r="E47">
        <v>1</v>
      </c>
      <c r="F47">
        <v>1</v>
      </c>
      <c r="G47">
        <v>1</v>
      </c>
      <c r="H47">
        <v>2</v>
      </c>
      <c r="I47" t="s">
        <v>517</v>
      </c>
      <c r="J47" t="s">
        <v>518</v>
      </c>
      <c r="K47" t="s">
        <v>519</v>
      </c>
      <c r="L47">
        <v>1368</v>
      </c>
      <c r="N47">
        <v>1011</v>
      </c>
      <c r="O47" t="s">
        <v>516</v>
      </c>
      <c r="P47" t="s">
        <v>516</v>
      </c>
      <c r="Q47">
        <v>1</v>
      </c>
      <c r="X47">
        <v>17.98</v>
      </c>
      <c r="Y47">
        <v>0</v>
      </c>
      <c r="Z47">
        <v>1.69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85</v>
      </c>
      <c r="AG47">
        <v>34.611500000000007</v>
      </c>
      <c r="AH47">
        <v>2</v>
      </c>
      <c r="AI47">
        <v>48370640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>
      <c r="A48">
        <f>ROW(Source!A39)</f>
        <v>39</v>
      </c>
      <c r="B48">
        <v>48370649</v>
      </c>
      <c r="C48">
        <v>48370648</v>
      </c>
      <c r="D48">
        <v>23146426</v>
      </c>
      <c r="E48">
        <v>1</v>
      </c>
      <c r="F48">
        <v>1</v>
      </c>
      <c r="G48">
        <v>1</v>
      </c>
      <c r="H48">
        <v>1</v>
      </c>
      <c r="I48" t="s">
        <v>569</v>
      </c>
      <c r="J48" t="s">
        <v>3</v>
      </c>
      <c r="K48" t="s">
        <v>570</v>
      </c>
      <c r="L48">
        <v>1369</v>
      </c>
      <c r="N48">
        <v>1013</v>
      </c>
      <c r="O48" t="s">
        <v>510</v>
      </c>
      <c r="P48" t="s">
        <v>510</v>
      </c>
      <c r="Q48">
        <v>1</v>
      </c>
      <c r="X48">
        <v>61.9</v>
      </c>
      <c r="Y48">
        <v>0</v>
      </c>
      <c r="Z48">
        <v>0</v>
      </c>
      <c r="AA48">
        <v>0</v>
      </c>
      <c r="AB48">
        <v>9.27</v>
      </c>
      <c r="AC48">
        <v>0</v>
      </c>
      <c r="AD48">
        <v>1</v>
      </c>
      <c r="AE48">
        <v>1</v>
      </c>
      <c r="AF48" t="s">
        <v>3</v>
      </c>
      <c r="AG48">
        <v>61.9</v>
      </c>
      <c r="AH48">
        <v>2</v>
      </c>
      <c r="AI48">
        <v>48370649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>
      <c r="A49">
        <f>ROW(Source!A39)</f>
        <v>39</v>
      </c>
      <c r="B49">
        <v>48370650</v>
      </c>
      <c r="C49">
        <v>48370648</v>
      </c>
      <c r="D49">
        <v>121548</v>
      </c>
      <c r="E49">
        <v>1</v>
      </c>
      <c r="F49">
        <v>1</v>
      </c>
      <c r="G49">
        <v>1</v>
      </c>
      <c r="H49">
        <v>1</v>
      </c>
      <c r="I49" t="s">
        <v>24</v>
      </c>
      <c r="J49" t="s">
        <v>3</v>
      </c>
      <c r="K49" t="s">
        <v>511</v>
      </c>
      <c r="L49">
        <v>608254</v>
      </c>
      <c r="N49">
        <v>1013</v>
      </c>
      <c r="O49" t="s">
        <v>512</v>
      </c>
      <c r="P49" t="s">
        <v>512</v>
      </c>
      <c r="Q49">
        <v>1</v>
      </c>
      <c r="X49">
        <v>0.2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2</v>
      </c>
      <c r="AF49" t="s">
        <v>3</v>
      </c>
      <c r="AG49">
        <v>0.2</v>
      </c>
      <c r="AH49">
        <v>2</v>
      </c>
      <c r="AI49">
        <v>48370650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>
      <c r="A50">
        <f>ROW(Source!A39)</f>
        <v>39</v>
      </c>
      <c r="B50">
        <v>48370651</v>
      </c>
      <c r="C50">
        <v>48370648</v>
      </c>
      <c r="D50">
        <v>37802578</v>
      </c>
      <c r="E50">
        <v>1</v>
      </c>
      <c r="F50">
        <v>1</v>
      </c>
      <c r="G50">
        <v>1</v>
      </c>
      <c r="H50">
        <v>2</v>
      </c>
      <c r="I50" t="s">
        <v>550</v>
      </c>
      <c r="J50" t="s">
        <v>551</v>
      </c>
      <c r="K50" t="s">
        <v>552</v>
      </c>
      <c r="L50">
        <v>1368</v>
      </c>
      <c r="N50">
        <v>1011</v>
      </c>
      <c r="O50" t="s">
        <v>516</v>
      </c>
      <c r="P50" t="s">
        <v>516</v>
      </c>
      <c r="Q50">
        <v>1</v>
      </c>
      <c r="X50">
        <v>0.2</v>
      </c>
      <c r="Y50">
        <v>0</v>
      </c>
      <c r="Z50">
        <v>32.090000000000003</v>
      </c>
      <c r="AA50">
        <v>12.1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0.2</v>
      </c>
      <c r="AH50">
        <v>2</v>
      </c>
      <c r="AI50">
        <v>48370651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>
      <c r="A51">
        <f>ROW(Source!A39)</f>
        <v>39</v>
      </c>
      <c r="B51">
        <v>48370652</v>
      </c>
      <c r="C51">
        <v>48370648</v>
      </c>
      <c r="D51">
        <v>37804456</v>
      </c>
      <c r="E51">
        <v>1</v>
      </c>
      <c r="F51">
        <v>1</v>
      </c>
      <c r="G51">
        <v>1</v>
      </c>
      <c r="H51">
        <v>2</v>
      </c>
      <c r="I51" t="s">
        <v>530</v>
      </c>
      <c r="J51" t="s">
        <v>531</v>
      </c>
      <c r="K51" t="s">
        <v>532</v>
      </c>
      <c r="L51">
        <v>1368</v>
      </c>
      <c r="N51">
        <v>1011</v>
      </c>
      <c r="O51" t="s">
        <v>516</v>
      </c>
      <c r="P51" t="s">
        <v>516</v>
      </c>
      <c r="Q51">
        <v>1</v>
      </c>
      <c r="X51">
        <v>0.2</v>
      </c>
      <c r="Y51">
        <v>0</v>
      </c>
      <c r="Z51">
        <v>91.76</v>
      </c>
      <c r="AA51">
        <v>10.35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0.2</v>
      </c>
      <c r="AH51">
        <v>2</v>
      </c>
      <c r="AI51">
        <v>48370652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>
      <c r="A52">
        <f>ROW(Source!A39)</f>
        <v>39</v>
      </c>
      <c r="B52">
        <v>48370653</v>
      </c>
      <c r="C52">
        <v>48370648</v>
      </c>
      <c r="D52">
        <v>37732155</v>
      </c>
      <c r="E52">
        <v>1</v>
      </c>
      <c r="F52">
        <v>1</v>
      </c>
      <c r="G52">
        <v>1</v>
      </c>
      <c r="H52">
        <v>3</v>
      </c>
      <c r="I52" t="s">
        <v>571</v>
      </c>
      <c r="J52" t="s">
        <v>572</v>
      </c>
      <c r="K52" t="s">
        <v>573</v>
      </c>
      <c r="L52">
        <v>1346</v>
      </c>
      <c r="N52">
        <v>1009</v>
      </c>
      <c r="O52" t="s">
        <v>172</v>
      </c>
      <c r="P52" t="s">
        <v>172</v>
      </c>
      <c r="Q52">
        <v>1</v>
      </c>
      <c r="X52">
        <v>4</v>
      </c>
      <c r="Y52">
        <v>24.41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4</v>
      </c>
      <c r="AH52">
        <v>2</v>
      </c>
      <c r="AI52">
        <v>48370653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>
      <c r="A53">
        <f>ROW(Source!A39)</f>
        <v>39</v>
      </c>
      <c r="B53">
        <v>48370654</v>
      </c>
      <c r="C53">
        <v>48370648</v>
      </c>
      <c r="D53">
        <v>37736852</v>
      </c>
      <c r="E53">
        <v>1</v>
      </c>
      <c r="F53">
        <v>1</v>
      </c>
      <c r="G53">
        <v>1</v>
      </c>
      <c r="H53">
        <v>3</v>
      </c>
      <c r="I53" t="s">
        <v>574</v>
      </c>
      <c r="J53" t="s">
        <v>575</v>
      </c>
      <c r="K53" t="s">
        <v>576</v>
      </c>
      <c r="L53">
        <v>1348</v>
      </c>
      <c r="N53">
        <v>1009</v>
      </c>
      <c r="O53" t="s">
        <v>536</v>
      </c>
      <c r="P53" t="s">
        <v>536</v>
      </c>
      <c r="Q53">
        <v>1000</v>
      </c>
      <c r="X53">
        <v>2.7000000000000001E-3</v>
      </c>
      <c r="Y53">
        <v>14830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2.7000000000000001E-3</v>
      </c>
      <c r="AH53">
        <v>2</v>
      </c>
      <c r="AI53">
        <v>48370654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>
      <c r="A54">
        <f>ROW(Source!A39)</f>
        <v>39</v>
      </c>
      <c r="B54">
        <v>48370655</v>
      </c>
      <c r="C54">
        <v>48370648</v>
      </c>
      <c r="D54">
        <v>37762030</v>
      </c>
      <c r="E54">
        <v>1</v>
      </c>
      <c r="F54">
        <v>1</v>
      </c>
      <c r="G54">
        <v>1</v>
      </c>
      <c r="H54">
        <v>3</v>
      </c>
      <c r="I54" t="s">
        <v>577</v>
      </c>
      <c r="J54" t="s">
        <v>578</v>
      </c>
      <c r="K54" t="s">
        <v>579</v>
      </c>
      <c r="L54">
        <v>1346</v>
      </c>
      <c r="N54">
        <v>1009</v>
      </c>
      <c r="O54" t="s">
        <v>172</v>
      </c>
      <c r="P54" t="s">
        <v>172</v>
      </c>
      <c r="Q54">
        <v>1</v>
      </c>
      <c r="X54">
        <v>0</v>
      </c>
      <c r="Y54">
        <v>0</v>
      </c>
      <c r="Z54">
        <v>0</v>
      </c>
      <c r="AA54">
        <v>0</v>
      </c>
      <c r="AB54">
        <v>0</v>
      </c>
      <c r="AC54">
        <v>1</v>
      </c>
      <c r="AD54">
        <v>0</v>
      </c>
      <c r="AE54">
        <v>0</v>
      </c>
      <c r="AF54" t="s">
        <v>3</v>
      </c>
      <c r="AG54">
        <v>0</v>
      </c>
      <c r="AH54">
        <v>2</v>
      </c>
      <c r="AI54">
        <v>48370655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>
      <c r="A55">
        <f>ROW(Source!A39)</f>
        <v>39</v>
      </c>
      <c r="B55">
        <v>48370656</v>
      </c>
      <c r="C55">
        <v>48370648</v>
      </c>
      <c r="D55">
        <v>37767093</v>
      </c>
      <c r="E55">
        <v>1</v>
      </c>
      <c r="F55">
        <v>1</v>
      </c>
      <c r="G55">
        <v>1</v>
      </c>
      <c r="H55">
        <v>3</v>
      </c>
      <c r="I55" t="s">
        <v>580</v>
      </c>
      <c r="J55" t="s">
        <v>581</v>
      </c>
      <c r="K55" t="s">
        <v>582</v>
      </c>
      <c r="L55">
        <v>1301</v>
      </c>
      <c r="N55">
        <v>1003</v>
      </c>
      <c r="O55" t="s">
        <v>208</v>
      </c>
      <c r="P55" t="s">
        <v>208</v>
      </c>
      <c r="Q55">
        <v>1</v>
      </c>
      <c r="X55">
        <v>99.8</v>
      </c>
      <c r="Y55">
        <v>119.15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99.8</v>
      </c>
      <c r="AH55">
        <v>2</v>
      </c>
      <c r="AI55">
        <v>48370656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>
      <c r="A56">
        <f>ROW(Source!A39)</f>
        <v>39</v>
      </c>
      <c r="B56">
        <v>48370657</v>
      </c>
      <c r="C56">
        <v>48370648</v>
      </c>
      <c r="D56">
        <v>37792787</v>
      </c>
      <c r="E56">
        <v>1</v>
      </c>
      <c r="F56">
        <v>1</v>
      </c>
      <c r="G56">
        <v>1</v>
      </c>
      <c r="H56">
        <v>3</v>
      </c>
      <c r="I56" t="s">
        <v>555</v>
      </c>
      <c r="J56" t="s">
        <v>556</v>
      </c>
      <c r="K56" t="s">
        <v>557</v>
      </c>
      <c r="L56">
        <v>1348</v>
      </c>
      <c r="N56">
        <v>1009</v>
      </c>
      <c r="O56" t="s">
        <v>536</v>
      </c>
      <c r="P56" t="s">
        <v>536</v>
      </c>
      <c r="Q56">
        <v>1000</v>
      </c>
      <c r="X56">
        <v>0.11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 t="s">
        <v>3</v>
      </c>
      <c r="AG56">
        <v>0.11</v>
      </c>
      <c r="AH56">
        <v>2</v>
      </c>
      <c r="AI56">
        <v>48370657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>
      <c r="A57">
        <f>ROW(Source!A40)</f>
        <v>40</v>
      </c>
      <c r="B57">
        <v>48370741</v>
      </c>
      <c r="C57">
        <v>48370723</v>
      </c>
      <c r="D57">
        <v>23146426</v>
      </c>
      <c r="E57">
        <v>1</v>
      </c>
      <c r="F57">
        <v>1</v>
      </c>
      <c r="G57">
        <v>1</v>
      </c>
      <c r="H57">
        <v>1</v>
      </c>
      <c r="I57" t="s">
        <v>569</v>
      </c>
      <c r="J57" t="s">
        <v>3</v>
      </c>
      <c r="K57" t="s">
        <v>570</v>
      </c>
      <c r="L57">
        <v>1369</v>
      </c>
      <c r="N57">
        <v>1013</v>
      </c>
      <c r="O57" t="s">
        <v>510</v>
      </c>
      <c r="P57" t="s">
        <v>510</v>
      </c>
      <c r="Q57">
        <v>1</v>
      </c>
      <c r="X57">
        <v>121.8</v>
      </c>
      <c r="Y57">
        <v>0</v>
      </c>
      <c r="Z57">
        <v>0</v>
      </c>
      <c r="AA57">
        <v>0</v>
      </c>
      <c r="AB57">
        <v>9.27</v>
      </c>
      <c r="AC57">
        <v>0</v>
      </c>
      <c r="AD57">
        <v>1</v>
      </c>
      <c r="AE57">
        <v>1</v>
      </c>
      <c r="AF57" t="s">
        <v>100</v>
      </c>
      <c r="AG57">
        <v>48.72</v>
      </c>
      <c r="AH57">
        <v>2</v>
      </c>
      <c r="AI57">
        <v>48370724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>
      <c r="A58">
        <f>ROW(Source!A40)</f>
        <v>40</v>
      </c>
      <c r="B58">
        <v>48370742</v>
      </c>
      <c r="C58">
        <v>48370723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24</v>
      </c>
      <c r="J58" t="s">
        <v>3</v>
      </c>
      <c r="K58" t="s">
        <v>511</v>
      </c>
      <c r="L58">
        <v>608254</v>
      </c>
      <c r="N58">
        <v>1013</v>
      </c>
      <c r="O58" t="s">
        <v>512</v>
      </c>
      <c r="P58" t="s">
        <v>512</v>
      </c>
      <c r="Q58">
        <v>1</v>
      </c>
      <c r="X58">
        <v>4.72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100</v>
      </c>
      <c r="AG58">
        <v>1.8879999999999999</v>
      </c>
      <c r="AH58">
        <v>2</v>
      </c>
      <c r="AI58">
        <v>48370725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>
      <c r="A59">
        <f>ROW(Source!A40)</f>
        <v>40</v>
      </c>
      <c r="B59">
        <v>48370743</v>
      </c>
      <c r="C59">
        <v>48370723</v>
      </c>
      <c r="D59">
        <v>37802359</v>
      </c>
      <c r="E59">
        <v>1</v>
      </c>
      <c r="F59">
        <v>1</v>
      </c>
      <c r="G59">
        <v>1</v>
      </c>
      <c r="H59">
        <v>2</v>
      </c>
      <c r="I59" t="s">
        <v>583</v>
      </c>
      <c r="J59" t="s">
        <v>584</v>
      </c>
      <c r="K59" t="s">
        <v>585</v>
      </c>
      <c r="L59">
        <v>1368</v>
      </c>
      <c r="N59">
        <v>1011</v>
      </c>
      <c r="O59" t="s">
        <v>516</v>
      </c>
      <c r="P59" t="s">
        <v>516</v>
      </c>
      <c r="Q59">
        <v>1</v>
      </c>
      <c r="X59">
        <v>0.05</v>
      </c>
      <c r="Y59">
        <v>0</v>
      </c>
      <c r="Z59">
        <v>103.49</v>
      </c>
      <c r="AA59">
        <v>12.1</v>
      </c>
      <c r="AB59">
        <v>0</v>
      </c>
      <c r="AC59">
        <v>0</v>
      </c>
      <c r="AD59">
        <v>1</v>
      </c>
      <c r="AE59">
        <v>0</v>
      </c>
      <c r="AF59" t="s">
        <v>100</v>
      </c>
      <c r="AG59">
        <v>2.0000000000000004E-2</v>
      </c>
      <c r="AH59">
        <v>2</v>
      </c>
      <c r="AI59">
        <v>48370726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>
      <c r="A60">
        <f>ROW(Source!A40)</f>
        <v>40</v>
      </c>
      <c r="B60">
        <v>48370744</v>
      </c>
      <c r="C60">
        <v>48370723</v>
      </c>
      <c r="D60">
        <v>37802443</v>
      </c>
      <c r="E60">
        <v>1</v>
      </c>
      <c r="F60">
        <v>1</v>
      </c>
      <c r="G60">
        <v>1</v>
      </c>
      <c r="H60">
        <v>2</v>
      </c>
      <c r="I60" t="s">
        <v>586</v>
      </c>
      <c r="J60" t="s">
        <v>587</v>
      </c>
      <c r="K60" t="s">
        <v>588</v>
      </c>
      <c r="L60">
        <v>1368</v>
      </c>
      <c r="N60">
        <v>1011</v>
      </c>
      <c r="O60" t="s">
        <v>516</v>
      </c>
      <c r="P60" t="s">
        <v>516</v>
      </c>
      <c r="Q60">
        <v>1</v>
      </c>
      <c r="X60">
        <v>0.03</v>
      </c>
      <c r="Y60">
        <v>0</v>
      </c>
      <c r="Z60">
        <v>124.14</v>
      </c>
      <c r="AA60">
        <v>12.1</v>
      </c>
      <c r="AB60">
        <v>0</v>
      </c>
      <c r="AC60">
        <v>0</v>
      </c>
      <c r="AD60">
        <v>1</v>
      </c>
      <c r="AE60">
        <v>0</v>
      </c>
      <c r="AF60" t="s">
        <v>100</v>
      </c>
      <c r="AG60">
        <v>1.2E-2</v>
      </c>
      <c r="AH60">
        <v>2</v>
      </c>
      <c r="AI60">
        <v>48370727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>
      <c r="A61">
        <f>ROW(Source!A40)</f>
        <v>40</v>
      </c>
      <c r="B61">
        <v>48370745</v>
      </c>
      <c r="C61">
        <v>48370723</v>
      </c>
      <c r="D61">
        <v>37802864</v>
      </c>
      <c r="E61">
        <v>1</v>
      </c>
      <c r="F61">
        <v>1</v>
      </c>
      <c r="G61">
        <v>1</v>
      </c>
      <c r="H61">
        <v>2</v>
      </c>
      <c r="I61" t="s">
        <v>589</v>
      </c>
      <c r="J61" t="s">
        <v>590</v>
      </c>
      <c r="K61" t="s">
        <v>591</v>
      </c>
      <c r="L61">
        <v>1368</v>
      </c>
      <c r="N61">
        <v>1011</v>
      </c>
      <c r="O61" t="s">
        <v>516</v>
      </c>
      <c r="P61" t="s">
        <v>516</v>
      </c>
      <c r="Q61">
        <v>1</v>
      </c>
      <c r="X61">
        <v>4.6399999999999997</v>
      </c>
      <c r="Y61">
        <v>0</v>
      </c>
      <c r="Z61">
        <v>101.79</v>
      </c>
      <c r="AA61">
        <v>12.1</v>
      </c>
      <c r="AB61">
        <v>0</v>
      </c>
      <c r="AC61">
        <v>0</v>
      </c>
      <c r="AD61">
        <v>1</v>
      </c>
      <c r="AE61">
        <v>0</v>
      </c>
      <c r="AF61" t="s">
        <v>100</v>
      </c>
      <c r="AG61">
        <v>1.8559999999999999</v>
      </c>
      <c r="AH61">
        <v>2</v>
      </c>
      <c r="AI61">
        <v>48370728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>
      <c r="A62">
        <f>ROW(Source!A40)</f>
        <v>40</v>
      </c>
      <c r="B62">
        <v>48370746</v>
      </c>
      <c r="C62">
        <v>48370723</v>
      </c>
      <c r="D62">
        <v>37804456</v>
      </c>
      <c r="E62">
        <v>1</v>
      </c>
      <c r="F62">
        <v>1</v>
      </c>
      <c r="G62">
        <v>1</v>
      </c>
      <c r="H62">
        <v>2</v>
      </c>
      <c r="I62" t="s">
        <v>530</v>
      </c>
      <c r="J62" t="s">
        <v>531</v>
      </c>
      <c r="K62" t="s">
        <v>532</v>
      </c>
      <c r="L62">
        <v>1368</v>
      </c>
      <c r="N62">
        <v>1011</v>
      </c>
      <c r="O62" t="s">
        <v>516</v>
      </c>
      <c r="P62" t="s">
        <v>516</v>
      </c>
      <c r="Q62">
        <v>1</v>
      </c>
      <c r="X62">
        <v>0.22</v>
      </c>
      <c r="Y62">
        <v>0</v>
      </c>
      <c r="Z62">
        <v>91.76</v>
      </c>
      <c r="AA62">
        <v>10.35</v>
      </c>
      <c r="AB62">
        <v>0</v>
      </c>
      <c r="AC62">
        <v>0</v>
      </c>
      <c r="AD62">
        <v>1</v>
      </c>
      <c r="AE62">
        <v>0</v>
      </c>
      <c r="AF62" t="s">
        <v>100</v>
      </c>
      <c r="AG62">
        <v>8.8000000000000009E-2</v>
      </c>
      <c r="AH62">
        <v>2</v>
      </c>
      <c r="AI62">
        <v>48370729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>
      <c r="A63">
        <f>ROW(Source!A40)</f>
        <v>40</v>
      </c>
      <c r="B63">
        <v>48370747</v>
      </c>
      <c r="C63">
        <v>48370723</v>
      </c>
      <c r="D63">
        <v>37737020</v>
      </c>
      <c r="E63">
        <v>1</v>
      </c>
      <c r="F63">
        <v>1</v>
      </c>
      <c r="G63">
        <v>1</v>
      </c>
      <c r="H63">
        <v>3</v>
      </c>
      <c r="I63" t="s">
        <v>592</v>
      </c>
      <c r="J63" t="s">
        <v>593</v>
      </c>
      <c r="K63" t="s">
        <v>594</v>
      </c>
      <c r="L63">
        <v>1348</v>
      </c>
      <c r="N63">
        <v>1009</v>
      </c>
      <c r="O63" t="s">
        <v>536</v>
      </c>
      <c r="P63" t="s">
        <v>536</v>
      </c>
      <c r="Q63">
        <v>1000</v>
      </c>
      <c r="X63">
        <v>5.1000000000000004E-4</v>
      </c>
      <c r="Y63">
        <v>22558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99</v>
      </c>
      <c r="AG63">
        <v>0</v>
      </c>
      <c r="AH63">
        <v>2</v>
      </c>
      <c r="AI63">
        <v>48370730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>
      <c r="A64">
        <f>ROW(Source!A40)</f>
        <v>40</v>
      </c>
      <c r="B64">
        <v>48370748</v>
      </c>
      <c r="C64">
        <v>48370723</v>
      </c>
      <c r="D64">
        <v>37731563</v>
      </c>
      <c r="E64">
        <v>1</v>
      </c>
      <c r="F64">
        <v>1</v>
      </c>
      <c r="G64">
        <v>1</v>
      </c>
      <c r="H64">
        <v>3</v>
      </c>
      <c r="I64" t="s">
        <v>595</v>
      </c>
      <c r="J64" t="s">
        <v>596</v>
      </c>
      <c r="K64" t="s">
        <v>597</v>
      </c>
      <c r="L64">
        <v>1346</v>
      </c>
      <c r="N64">
        <v>1009</v>
      </c>
      <c r="O64" t="s">
        <v>172</v>
      </c>
      <c r="P64" t="s">
        <v>172</v>
      </c>
      <c r="Q64">
        <v>1</v>
      </c>
      <c r="X64">
        <v>0.17</v>
      </c>
      <c r="Y64">
        <v>28.93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99</v>
      </c>
      <c r="AG64">
        <v>0</v>
      </c>
      <c r="AH64">
        <v>2</v>
      </c>
      <c r="AI64">
        <v>48370731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>
      <c r="A65">
        <f>ROW(Source!A40)</f>
        <v>40</v>
      </c>
      <c r="B65">
        <v>48370749</v>
      </c>
      <c r="C65">
        <v>48370723</v>
      </c>
      <c r="D65">
        <v>37730101</v>
      </c>
      <c r="E65">
        <v>1</v>
      </c>
      <c r="F65">
        <v>1</v>
      </c>
      <c r="G65">
        <v>1</v>
      </c>
      <c r="H65">
        <v>3</v>
      </c>
      <c r="I65" t="s">
        <v>598</v>
      </c>
      <c r="J65" t="s">
        <v>599</v>
      </c>
      <c r="K65" t="s">
        <v>600</v>
      </c>
      <c r="L65">
        <v>1356</v>
      </c>
      <c r="N65">
        <v>1010</v>
      </c>
      <c r="O65" t="s">
        <v>547</v>
      </c>
      <c r="P65" t="s">
        <v>547</v>
      </c>
      <c r="Q65">
        <v>1000</v>
      </c>
      <c r="X65">
        <v>0.06</v>
      </c>
      <c r="Y65">
        <v>253.8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99</v>
      </c>
      <c r="AG65">
        <v>0</v>
      </c>
      <c r="AH65">
        <v>2</v>
      </c>
      <c r="AI65">
        <v>48370732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>
      <c r="A66">
        <f>ROW(Source!A40)</f>
        <v>40</v>
      </c>
      <c r="B66">
        <v>48370750</v>
      </c>
      <c r="C66">
        <v>48370723</v>
      </c>
      <c r="D66">
        <v>37735344</v>
      </c>
      <c r="E66">
        <v>1</v>
      </c>
      <c r="F66">
        <v>1</v>
      </c>
      <c r="G66">
        <v>1</v>
      </c>
      <c r="H66">
        <v>3</v>
      </c>
      <c r="I66" t="s">
        <v>601</v>
      </c>
      <c r="J66" t="s">
        <v>602</v>
      </c>
      <c r="K66" t="s">
        <v>603</v>
      </c>
      <c r="L66">
        <v>1346</v>
      </c>
      <c r="N66">
        <v>1009</v>
      </c>
      <c r="O66" t="s">
        <v>172</v>
      </c>
      <c r="P66" t="s">
        <v>172</v>
      </c>
      <c r="Q66">
        <v>1</v>
      </c>
      <c r="X66">
        <v>0.33</v>
      </c>
      <c r="Y66">
        <v>25.38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99</v>
      </c>
      <c r="AG66">
        <v>0</v>
      </c>
      <c r="AH66">
        <v>2</v>
      </c>
      <c r="AI66">
        <v>48370733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>
      <c r="A67">
        <f>ROW(Source!A40)</f>
        <v>40</v>
      </c>
      <c r="B67">
        <v>48370751</v>
      </c>
      <c r="C67">
        <v>48370723</v>
      </c>
      <c r="D67">
        <v>37740609</v>
      </c>
      <c r="E67">
        <v>1</v>
      </c>
      <c r="F67">
        <v>1</v>
      </c>
      <c r="G67">
        <v>1</v>
      </c>
      <c r="H67">
        <v>3</v>
      </c>
      <c r="I67" t="s">
        <v>604</v>
      </c>
      <c r="J67" t="s">
        <v>605</v>
      </c>
      <c r="K67" t="s">
        <v>606</v>
      </c>
      <c r="L67">
        <v>1354</v>
      </c>
      <c r="N67">
        <v>1010</v>
      </c>
      <c r="O67" t="s">
        <v>220</v>
      </c>
      <c r="P67" t="s">
        <v>220</v>
      </c>
      <c r="Q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 t="s">
        <v>99</v>
      </c>
      <c r="AG67">
        <v>0</v>
      </c>
      <c r="AH67">
        <v>2</v>
      </c>
      <c r="AI67">
        <v>48370734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>
      <c r="A68">
        <f>ROW(Source!A40)</f>
        <v>40</v>
      </c>
      <c r="B68">
        <v>48370752</v>
      </c>
      <c r="C68">
        <v>48370723</v>
      </c>
      <c r="D68">
        <v>37745103</v>
      </c>
      <c r="E68">
        <v>1</v>
      </c>
      <c r="F68">
        <v>1</v>
      </c>
      <c r="G68">
        <v>1</v>
      </c>
      <c r="H68">
        <v>3</v>
      </c>
      <c r="I68" t="s">
        <v>607</v>
      </c>
      <c r="J68" t="s">
        <v>608</v>
      </c>
      <c r="K68" t="s">
        <v>609</v>
      </c>
      <c r="L68">
        <v>1346</v>
      </c>
      <c r="N68">
        <v>1009</v>
      </c>
      <c r="O68" t="s">
        <v>172</v>
      </c>
      <c r="P68" t="s">
        <v>172</v>
      </c>
      <c r="Q68">
        <v>1</v>
      </c>
      <c r="X68">
        <v>0.2</v>
      </c>
      <c r="Y68">
        <v>12.05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99</v>
      </c>
      <c r="AG68">
        <v>0</v>
      </c>
      <c r="AH68">
        <v>2</v>
      </c>
      <c r="AI68">
        <v>48370735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>
      <c r="A69">
        <f>ROW(Source!A40)</f>
        <v>40</v>
      </c>
      <c r="B69">
        <v>48370753</v>
      </c>
      <c r="C69">
        <v>48370723</v>
      </c>
      <c r="D69">
        <v>37762030</v>
      </c>
      <c r="E69">
        <v>1</v>
      </c>
      <c r="F69">
        <v>1</v>
      </c>
      <c r="G69">
        <v>1</v>
      </c>
      <c r="H69">
        <v>3</v>
      </c>
      <c r="I69" t="s">
        <v>577</v>
      </c>
      <c r="J69" t="s">
        <v>578</v>
      </c>
      <c r="K69" t="s">
        <v>579</v>
      </c>
      <c r="L69">
        <v>1346</v>
      </c>
      <c r="N69">
        <v>1009</v>
      </c>
      <c r="O69" t="s">
        <v>172</v>
      </c>
      <c r="P69" t="s">
        <v>172</v>
      </c>
      <c r="Q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0</v>
      </c>
      <c r="AF69" t="s">
        <v>99</v>
      </c>
      <c r="AG69">
        <v>0</v>
      </c>
      <c r="AH69">
        <v>2</v>
      </c>
      <c r="AI69">
        <v>48370736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>
      <c r="A70">
        <f>ROW(Source!A40)</f>
        <v>40</v>
      </c>
      <c r="B70">
        <v>48370754</v>
      </c>
      <c r="C70">
        <v>48370723</v>
      </c>
      <c r="D70">
        <v>37766776</v>
      </c>
      <c r="E70">
        <v>1</v>
      </c>
      <c r="F70">
        <v>1</v>
      </c>
      <c r="G70">
        <v>1</v>
      </c>
      <c r="H70">
        <v>3</v>
      </c>
      <c r="I70" t="s">
        <v>610</v>
      </c>
      <c r="J70" t="s">
        <v>611</v>
      </c>
      <c r="K70" t="s">
        <v>612</v>
      </c>
      <c r="L70">
        <v>1354</v>
      </c>
      <c r="N70">
        <v>1010</v>
      </c>
      <c r="O70" t="s">
        <v>220</v>
      </c>
      <c r="P70" t="s">
        <v>220</v>
      </c>
      <c r="Q70">
        <v>1</v>
      </c>
      <c r="X70">
        <v>0</v>
      </c>
      <c r="Y70">
        <v>0</v>
      </c>
      <c r="Z70">
        <v>0</v>
      </c>
      <c r="AA70">
        <v>0</v>
      </c>
      <c r="AB70">
        <v>0</v>
      </c>
      <c r="AC70">
        <v>1</v>
      </c>
      <c r="AD70">
        <v>0</v>
      </c>
      <c r="AE70">
        <v>0</v>
      </c>
      <c r="AF70" t="s">
        <v>99</v>
      </c>
      <c r="AG70">
        <v>0</v>
      </c>
      <c r="AH70">
        <v>2</v>
      </c>
      <c r="AI70">
        <v>48370737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>
      <c r="A71">
        <f>ROW(Source!A40)</f>
        <v>40</v>
      </c>
      <c r="B71">
        <v>48370755</v>
      </c>
      <c r="C71">
        <v>48370723</v>
      </c>
      <c r="D71">
        <v>37777058</v>
      </c>
      <c r="E71">
        <v>1</v>
      </c>
      <c r="F71">
        <v>1</v>
      </c>
      <c r="G71">
        <v>1</v>
      </c>
      <c r="H71">
        <v>3</v>
      </c>
      <c r="I71" t="s">
        <v>613</v>
      </c>
      <c r="J71" t="s">
        <v>614</v>
      </c>
      <c r="K71" t="s">
        <v>615</v>
      </c>
      <c r="L71">
        <v>1346</v>
      </c>
      <c r="N71">
        <v>1009</v>
      </c>
      <c r="O71" t="s">
        <v>172</v>
      </c>
      <c r="P71" t="s">
        <v>172</v>
      </c>
      <c r="Q71">
        <v>1</v>
      </c>
      <c r="X71">
        <v>4.0000000000000001E-3</v>
      </c>
      <c r="Y71">
        <v>1.42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99</v>
      </c>
      <c r="AG71">
        <v>0</v>
      </c>
      <c r="AH71">
        <v>2</v>
      </c>
      <c r="AI71">
        <v>48370738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>
      <c r="A72">
        <f>ROW(Source!A40)</f>
        <v>40</v>
      </c>
      <c r="B72">
        <v>48370756</v>
      </c>
      <c r="C72">
        <v>48370723</v>
      </c>
      <c r="D72">
        <v>37777802</v>
      </c>
      <c r="E72">
        <v>1</v>
      </c>
      <c r="F72">
        <v>1</v>
      </c>
      <c r="G72">
        <v>1</v>
      </c>
      <c r="H72">
        <v>3</v>
      </c>
      <c r="I72" t="s">
        <v>616</v>
      </c>
      <c r="J72" t="s">
        <v>617</v>
      </c>
      <c r="K72" t="s">
        <v>618</v>
      </c>
      <c r="L72">
        <v>1339</v>
      </c>
      <c r="N72">
        <v>1007</v>
      </c>
      <c r="O72" t="s">
        <v>543</v>
      </c>
      <c r="P72" t="s">
        <v>543</v>
      </c>
      <c r="Q72">
        <v>1</v>
      </c>
      <c r="X72">
        <v>1.21</v>
      </c>
      <c r="Y72">
        <v>2.4700000000000002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99</v>
      </c>
      <c r="AG72">
        <v>0</v>
      </c>
      <c r="AH72">
        <v>2</v>
      </c>
      <c r="AI72">
        <v>48370739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>
      <c r="A73">
        <f>ROW(Source!A40)</f>
        <v>40</v>
      </c>
      <c r="B73">
        <v>48370757</v>
      </c>
      <c r="C73">
        <v>48370723</v>
      </c>
      <c r="D73">
        <v>37786634</v>
      </c>
      <c r="E73">
        <v>1</v>
      </c>
      <c r="F73">
        <v>1</v>
      </c>
      <c r="G73">
        <v>1</v>
      </c>
      <c r="H73">
        <v>3</v>
      </c>
      <c r="I73" t="s">
        <v>619</v>
      </c>
      <c r="J73" t="s">
        <v>620</v>
      </c>
      <c r="K73" t="s">
        <v>621</v>
      </c>
      <c r="L73">
        <v>1302</v>
      </c>
      <c r="N73">
        <v>1003</v>
      </c>
      <c r="O73" t="s">
        <v>622</v>
      </c>
      <c r="P73" t="s">
        <v>622</v>
      </c>
      <c r="Q73">
        <v>10</v>
      </c>
      <c r="X73">
        <v>9.3800000000000008</v>
      </c>
      <c r="Y73">
        <v>74.599999999999994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99</v>
      </c>
      <c r="AG73">
        <v>0</v>
      </c>
      <c r="AH73">
        <v>2</v>
      </c>
      <c r="AI73">
        <v>48370740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>
      <c r="A74">
        <f>ROW(Source!A76)</f>
        <v>76</v>
      </c>
      <c r="B74">
        <v>48370834</v>
      </c>
      <c r="C74">
        <v>48370816</v>
      </c>
      <c r="D74">
        <v>23146426</v>
      </c>
      <c r="E74">
        <v>1</v>
      </c>
      <c r="F74">
        <v>1</v>
      </c>
      <c r="G74">
        <v>1</v>
      </c>
      <c r="H74">
        <v>1</v>
      </c>
      <c r="I74" t="s">
        <v>569</v>
      </c>
      <c r="J74" t="s">
        <v>3</v>
      </c>
      <c r="K74" t="s">
        <v>570</v>
      </c>
      <c r="L74">
        <v>1369</v>
      </c>
      <c r="N74">
        <v>1013</v>
      </c>
      <c r="O74" t="s">
        <v>510</v>
      </c>
      <c r="P74" t="s">
        <v>510</v>
      </c>
      <c r="Q74">
        <v>1</v>
      </c>
      <c r="X74">
        <v>121.8</v>
      </c>
      <c r="Y74">
        <v>0</v>
      </c>
      <c r="Z74">
        <v>0</v>
      </c>
      <c r="AA74">
        <v>0</v>
      </c>
      <c r="AB74">
        <v>9.27</v>
      </c>
      <c r="AC74">
        <v>0</v>
      </c>
      <c r="AD74">
        <v>1</v>
      </c>
      <c r="AE74">
        <v>1</v>
      </c>
      <c r="AF74" t="s">
        <v>161</v>
      </c>
      <c r="AG74">
        <v>140.07</v>
      </c>
      <c r="AH74">
        <v>2</v>
      </c>
      <c r="AI74">
        <v>48370817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>
      <c r="A75">
        <f>ROW(Source!A76)</f>
        <v>76</v>
      </c>
      <c r="B75">
        <v>48370835</v>
      </c>
      <c r="C75">
        <v>48370816</v>
      </c>
      <c r="D75">
        <v>121548</v>
      </c>
      <c r="E75">
        <v>1</v>
      </c>
      <c r="F75">
        <v>1</v>
      </c>
      <c r="G75">
        <v>1</v>
      </c>
      <c r="H75">
        <v>1</v>
      </c>
      <c r="I75" t="s">
        <v>24</v>
      </c>
      <c r="J75" t="s">
        <v>3</v>
      </c>
      <c r="K75" t="s">
        <v>511</v>
      </c>
      <c r="L75">
        <v>608254</v>
      </c>
      <c r="N75">
        <v>1013</v>
      </c>
      <c r="O75" t="s">
        <v>512</v>
      </c>
      <c r="P75" t="s">
        <v>512</v>
      </c>
      <c r="Q75">
        <v>1</v>
      </c>
      <c r="X75">
        <v>4.72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160</v>
      </c>
      <c r="AG75">
        <v>5.8999999999999995</v>
      </c>
      <c r="AH75">
        <v>2</v>
      </c>
      <c r="AI75">
        <v>48370818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>
      <c r="A76">
        <f>ROW(Source!A76)</f>
        <v>76</v>
      </c>
      <c r="B76">
        <v>48370836</v>
      </c>
      <c r="C76">
        <v>48370816</v>
      </c>
      <c r="D76">
        <v>37802359</v>
      </c>
      <c r="E76">
        <v>1</v>
      </c>
      <c r="F76">
        <v>1</v>
      </c>
      <c r="G76">
        <v>1</v>
      </c>
      <c r="H76">
        <v>2</v>
      </c>
      <c r="I76" t="s">
        <v>583</v>
      </c>
      <c r="J76" t="s">
        <v>584</v>
      </c>
      <c r="K76" t="s">
        <v>585</v>
      </c>
      <c r="L76">
        <v>1368</v>
      </c>
      <c r="N76">
        <v>1011</v>
      </c>
      <c r="O76" t="s">
        <v>516</v>
      </c>
      <c r="P76" t="s">
        <v>516</v>
      </c>
      <c r="Q76">
        <v>1</v>
      </c>
      <c r="X76">
        <v>0.05</v>
      </c>
      <c r="Y76">
        <v>0</v>
      </c>
      <c r="Z76">
        <v>103.49</v>
      </c>
      <c r="AA76">
        <v>12.1</v>
      </c>
      <c r="AB76">
        <v>0</v>
      </c>
      <c r="AC76">
        <v>0</v>
      </c>
      <c r="AD76">
        <v>1</v>
      </c>
      <c r="AE76">
        <v>0</v>
      </c>
      <c r="AF76" t="s">
        <v>160</v>
      </c>
      <c r="AG76">
        <v>6.25E-2</v>
      </c>
      <c r="AH76">
        <v>2</v>
      </c>
      <c r="AI76">
        <v>48370819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>
      <c r="A77">
        <f>ROW(Source!A76)</f>
        <v>76</v>
      </c>
      <c r="B77">
        <v>48370837</v>
      </c>
      <c r="C77">
        <v>48370816</v>
      </c>
      <c r="D77">
        <v>37802443</v>
      </c>
      <c r="E77">
        <v>1</v>
      </c>
      <c r="F77">
        <v>1</v>
      </c>
      <c r="G77">
        <v>1</v>
      </c>
      <c r="H77">
        <v>2</v>
      </c>
      <c r="I77" t="s">
        <v>586</v>
      </c>
      <c r="J77" t="s">
        <v>587</v>
      </c>
      <c r="K77" t="s">
        <v>588</v>
      </c>
      <c r="L77">
        <v>1368</v>
      </c>
      <c r="N77">
        <v>1011</v>
      </c>
      <c r="O77" t="s">
        <v>516</v>
      </c>
      <c r="P77" t="s">
        <v>516</v>
      </c>
      <c r="Q77">
        <v>1</v>
      </c>
      <c r="X77">
        <v>0.03</v>
      </c>
      <c r="Y77">
        <v>0</v>
      </c>
      <c r="Z77">
        <v>124.14</v>
      </c>
      <c r="AA77">
        <v>12.1</v>
      </c>
      <c r="AB77">
        <v>0</v>
      </c>
      <c r="AC77">
        <v>0</v>
      </c>
      <c r="AD77">
        <v>1</v>
      </c>
      <c r="AE77">
        <v>0</v>
      </c>
      <c r="AF77" t="s">
        <v>160</v>
      </c>
      <c r="AG77">
        <v>3.7499999999999999E-2</v>
      </c>
      <c r="AH77">
        <v>2</v>
      </c>
      <c r="AI77">
        <v>48370820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>
      <c r="A78">
        <f>ROW(Source!A76)</f>
        <v>76</v>
      </c>
      <c r="B78">
        <v>48370838</v>
      </c>
      <c r="C78">
        <v>48370816</v>
      </c>
      <c r="D78">
        <v>37802864</v>
      </c>
      <c r="E78">
        <v>1</v>
      </c>
      <c r="F78">
        <v>1</v>
      </c>
      <c r="G78">
        <v>1</v>
      </c>
      <c r="H78">
        <v>2</v>
      </c>
      <c r="I78" t="s">
        <v>589</v>
      </c>
      <c r="J78" t="s">
        <v>590</v>
      </c>
      <c r="K78" t="s">
        <v>591</v>
      </c>
      <c r="L78">
        <v>1368</v>
      </c>
      <c r="N78">
        <v>1011</v>
      </c>
      <c r="O78" t="s">
        <v>516</v>
      </c>
      <c r="P78" t="s">
        <v>516</v>
      </c>
      <c r="Q78">
        <v>1</v>
      </c>
      <c r="X78">
        <v>4.6399999999999997</v>
      </c>
      <c r="Y78">
        <v>0</v>
      </c>
      <c r="Z78">
        <v>101.79</v>
      </c>
      <c r="AA78">
        <v>12.1</v>
      </c>
      <c r="AB78">
        <v>0</v>
      </c>
      <c r="AC78">
        <v>0</v>
      </c>
      <c r="AD78">
        <v>1</v>
      </c>
      <c r="AE78">
        <v>0</v>
      </c>
      <c r="AF78" t="s">
        <v>160</v>
      </c>
      <c r="AG78">
        <v>5.8</v>
      </c>
      <c r="AH78">
        <v>2</v>
      </c>
      <c r="AI78">
        <v>48370821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>
      <c r="A79">
        <f>ROW(Source!A76)</f>
        <v>76</v>
      </c>
      <c r="B79">
        <v>48370839</v>
      </c>
      <c r="C79">
        <v>48370816</v>
      </c>
      <c r="D79">
        <v>37804456</v>
      </c>
      <c r="E79">
        <v>1</v>
      </c>
      <c r="F79">
        <v>1</v>
      </c>
      <c r="G79">
        <v>1</v>
      </c>
      <c r="H79">
        <v>2</v>
      </c>
      <c r="I79" t="s">
        <v>530</v>
      </c>
      <c r="J79" t="s">
        <v>531</v>
      </c>
      <c r="K79" t="s">
        <v>532</v>
      </c>
      <c r="L79">
        <v>1368</v>
      </c>
      <c r="N79">
        <v>1011</v>
      </c>
      <c r="O79" t="s">
        <v>516</v>
      </c>
      <c r="P79" t="s">
        <v>516</v>
      </c>
      <c r="Q79">
        <v>1</v>
      </c>
      <c r="X79">
        <v>0.22</v>
      </c>
      <c r="Y79">
        <v>0</v>
      </c>
      <c r="Z79">
        <v>91.76</v>
      </c>
      <c r="AA79">
        <v>10.35</v>
      </c>
      <c r="AB79">
        <v>0</v>
      </c>
      <c r="AC79">
        <v>0</v>
      </c>
      <c r="AD79">
        <v>1</v>
      </c>
      <c r="AE79">
        <v>0</v>
      </c>
      <c r="AF79" t="s">
        <v>160</v>
      </c>
      <c r="AG79">
        <v>0.27500000000000002</v>
      </c>
      <c r="AH79">
        <v>2</v>
      </c>
      <c r="AI79">
        <v>48370822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>
      <c r="A80">
        <f>ROW(Source!A76)</f>
        <v>76</v>
      </c>
      <c r="B80">
        <v>48370840</v>
      </c>
      <c r="C80">
        <v>48370816</v>
      </c>
      <c r="D80">
        <v>37737020</v>
      </c>
      <c r="E80">
        <v>1</v>
      </c>
      <c r="F80">
        <v>1</v>
      </c>
      <c r="G80">
        <v>1</v>
      </c>
      <c r="H80">
        <v>3</v>
      </c>
      <c r="I80" t="s">
        <v>592</v>
      </c>
      <c r="J80" t="s">
        <v>593</v>
      </c>
      <c r="K80" t="s">
        <v>594</v>
      </c>
      <c r="L80">
        <v>1348</v>
      </c>
      <c r="N80">
        <v>1009</v>
      </c>
      <c r="O80" t="s">
        <v>536</v>
      </c>
      <c r="P80" t="s">
        <v>536</v>
      </c>
      <c r="Q80">
        <v>1000</v>
      </c>
      <c r="X80">
        <v>5.1000000000000004E-4</v>
      </c>
      <c r="Y80">
        <v>22558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5.1000000000000004E-4</v>
      </c>
      <c r="AH80">
        <v>2</v>
      </c>
      <c r="AI80">
        <v>48370823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>
      <c r="A81">
        <f>ROW(Source!A76)</f>
        <v>76</v>
      </c>
      <c r="B81">
        <v>48370841</v>
      </c>
      <c r="C81">
        <v>48370816</v>
      </c>
      <c r="D81">
        <v>37731563</v>
      </c>
      <c r="E81">
        <v>1</v>
      </c>
      <c r="F81">
        <v>1</v>
      </c>
      <c r="G81">
        <v>1</v>
      </c>
      <c r="H81">
        <v>3</v>
      </c>
      <c r="I81" t="s">
        <v>595</v>
      </c>
      <c r="J81" t="s">
        <v>596</v>
      </c>
      <c r="K81" t="s">
        <v>597</v>
      </c>
      <c r="L81">
        <v>1346</v>
      </c>
      <c r="N81">
        <v>1009</v>
      </c>
      <c r="O81" t="s">
        <v>172</v>
      </c>
      <c r="P81" t="s">
        <v>172</v>
      </c>
      <c r="Q81">
        <v>1</v>
      </c>
      <c r="X81">
        <v>0.17</v>
      </c>
      <c r="Y81">
        <v>28.93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0.17</v>
      </c>
      <c r="AH81">
        <v>2</v>
      </c>
      <c r="AI81">
        <v>48370824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>
      <c r="A82">
        <f>ROW(Source!A76)</f>
        <v>76</v>
      </c>
      <c r="B82">
        <v>48370842</v>
      </c>
      <c r="C82">
        <v>48370816</v>
      </c>
      <c r="D82">
        <v>37730101</v>
      </c>
      <c r="E82">
        <v>1</v>
      </c>
      <c r="F82">
        <v>1</v>
      </c>
      <c r="G82">
        <v>1</v>
      </c>
      <c r="H82">
        <v>3</v>
      </c>
      <c r="I82" t="s">
        <v>598</v>
      </c>
      <c r="J82" t="s">
        <v>599</v>
      </c>
      <c r="K82" t="s">
        <v>600</v>
      </c>
      <c r="L82">
        <v>1356</v>
      </c>
      <c r="N82">
        <v>1010</v>
      </c>
      <c r="O82" t="s">
        <v>547</v>
      </c>
      <c r="P82" t="s">
        <v>547</v>
      </c>
      <c r="Q82">
        <v>1000</v>
      </c>
      <c r="X82">
        <v>0.06</v>
      </c>
      <c r="Y82">
        <v>253.8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0.06</v>
      </c>
      <c r="AH82">
        <v>2</v>
      </c>
      <c r="AI82">
        <v>48370825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>
      <c r="A83">
        <f>ROW(Source!A76)</f>
        <v>76</v>
      </c>
      <c r="B83">
        <v>48370843</v>
      </c>
      <c r="C83">
        <v>48370816</v>
      </c>
      <c r="D83">
        <v>37735344</v>
      </c>
      <c r="E83">
        <v>1</v>
      </c>
      <c r="F83">
        <v>1</v>
      </c>
      <c r="G83">
        <v>1</v>
      </c>
      <c r="H83">
        <v>3</v>
      </c>
      <c r="I83" t="s">
        <v>601</v>
      </c>
      <c r="J83" t="s">
        <v>602</v>
      </c>
      <c r="K83" t="s">
        <v>603</v>
      </c>
      <c r="L83">
        <v>1346</v>
      </c>
      <c r="N83">
        <v>1009</v>
      </c>
      <c r="O83" t="s">
        <v>172</v>
      </c>
      <c r="P83" t="s">
        <v>172</v>
      </c>
      <c r="Q83">
        <v>1</v>
      </c>
      <c r="X83">
        <v>0.33</v>
      </c>
      <c r="Y83">
        <v>25.38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0.33</v>
      </c>
      <c r="AH83">
        <v>2</v>
      </c>
      <c r="AI83">
        <v>48370826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>
      <c r="A84">
        <f>ROW(Source!A76)</f>
        <v>76</v>
      </c>
      <c r="B84">
        <v>48370844</v>
      </c>
      <c r="C84">
        <v>48370816</v>
      </c>
      <c r="D84">
        <v>37740609</v>
      </c>
      <c r="E84">
        <v>1</v>
      </c>
      <c r="F84">
        <v>1</v>
      </c>
      <c r="G84">
        <v>1</v>
      </c>
      <c r="H84">
        <v>3</v>
      </c>
      <c r="I84" t="s">
        <v>604</v>
      </c>
      <c r="J84" t="s">
        <v>605</v>
      </c>
      <c r="K84" t="s">
        <v>606</v>
      </c>
      <c r="L84">
        <v>1354</v>
      </c>
      <c r="N84">
        <v>1010</v>
      </c>
      <c r="O84" t="s">
        <v>220</v>
      </c>
      <c r="P84" t="s">
        <v>220</v>
      </c>
      <c r="Q84">
        <v>1</v>
      </c>
      <c r="X84">
        <v>0</v>
      </c>
      <c r="Y84">
        <v>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 t="s">
        <v>3</v>
      </c>
      <c r="AG84">
        <v>0</v>
      </c>
      <c r="AH84">
        <v>2</v>
      </c>
      <c r="AI84">
        <v>48370827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>
      <c r="A85">
        <f>ROW(Source!A76)</f>
        <v>76</v>
      </c>
      <c r="B85">
        <v>48370845</v>
      </c>
      <c r="C85">
        <v>48370816</v>
      </c>
      <c r="D85">
        <v>37745103</v>
      </c>
      <c r="E85">
        <v>1</v>
      </c>
      <c r="F85">
        <v>1</v>
      </c>
      <c r="G85">
        <v>1</v>
      </c>
      <c r="H85">
        <v>3</v>
      </c>
      <c r="I85" t="s">
        <v>607</v>
      </c>
      <c r="J85" t="s">
        <v>608</v>
      </c>
      <c r="K85" t="s">
        <v>609</v>
      </c>
      <c r="L85">
        <v>1346</v>
      </c>
      <c r="N85">
        <v>1009</v>
      </c>
      <c r="O85" t="s">
        <v>172</v>
      </c>
      <c r="P85" t="s">
        <v>172</v>
      </c>
      <c r="Q85">
        <v>1</v>
      </c>
      <c r="X85">
        <v>0.2</v>
      </c>
      <c r="Y85">
        <v>12.05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0.2</v>
      </c>
      <c r="AH85">
        <v>2</v>
      </c>
      <c r="AI85">
        <v>48370828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>
      <c r="A86">
        <f>ROW(Source!A76)</f>
        <v>76</v>
      </c>
      <c r="B86">
        <v>48370846</v>
      </c>
      <c r="C86">
        <v>48370816</v>
      </c>
      <c r="D86">
        <v>37762030</v>
      </c>
      <c r="E86">
        <v>1</v>
      </c>
      <c r="F86">
        <v>1</v>
      </c>
      <c r="G86">
        <v>1</v>
      </c>
      <c r="H86">
        <v>3</v>
      </c>
      <c r="I86" t="s">
        <v>577</v>
      </c>
      <c r="J86" t="s">
        <v>578</v>
      </c>
      <c r="K86" t="s">
        <v>579</v>
      </c>
      <c r="L86">
        <v>1346</v>
      </c>
      <c r="N86">
        <v>1009</v>
      </c>
      <c r="O86" t="s">
        <v>172</v>
      </c>
      <c r="P86" t="s">
        <v>172</v>
      </c>
      <c r="Q86">
        <v>1</v>
      </c>
      <c r="X86">
        <v>0</v>
      </c>
      <c r="Y86">
        <v>0</v>
      </c>
      <c r="Z86">
        <v>0</v>
      </c>
      <c r="AA86">
        <v>0</v>
      </c>
      <c r="AB86">
        <v>0</v>
      </c>
      <c r="AC86">
        <v>1</v>
      </c>
      <c r="AD86">
        <v>0</v>
      </c>
      <c r="AE86">
        <v>0</v>
      </c>
      <c r="AF86" t="s">
        <v>3</v>
      </c>
      <c r="AG86">
        <v>0</v>
      </c>
      <c r="AH86">
        <v>2</v>
      </c>
      <c r="AI86">
        <v>48370829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>
      <c r="A87">
        <f>ROW(Source!A76)</f>
        <v>76</v>
      </c>
      <c r="B87">
        <v>48370847</v>
      </c>
      <c r="C87">
        <v>48370816</v>
      </c>
      <c r="D87">
        <v>37766776</v>
      </c>
      <c r="E87">
        <v>1</v>
      </c>
      <c r="F87">
        <v>1</v>
      </c>
      <c r="G87">
        <v>1</v>
      </c>
      <c r="H87">
        <v>3</v>
      </c>
      <c r="I87" t="s">
        <v>610</v>
      </c>
      <c r="J87" t="s">
        <v>611</v>
      </c>
      <c r="K87" t="s">
        <v>612</v>
      </c>
      <c r="L87">
        <v>1354</v>
      </c>
      <c r="N87">
        <v>1010</v>
      </c>
      <c r="O87" t="s">
        <v>220</v>
      </c>
      <c r="P87" t="s">
        <v>220</v>
      </c>
      <c r="Q87">
        <v>1</v>
      </c>
      <c r="X87">
        <v>0</v>
      </c>
      <c r="Y87">
        <v>0</v>
      </c>
      <c r="Z87">
        <v>0</v>
      </c>
      <c r="AA87">
        <v>0</v>
      </c>
      <c r="AB87">
        <v>0</v>
      </c>
      <c r="AC87">
        <v>1</v>
      </c>
      <c r="AD87">
        <v>0</v>
      </c>
      <c r="AE87">
        <v>0</v>
      </c>
      <c r="AF87" t="s">
        <v>3</v>
      </c>
      <c r="AG87">
        <v>0</v>
      </c>
      <c r="AH87">
        <v>2</v>
      </c>
      <c r="AI87">
        <v>48370830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>
      <c r="A88">
        <f>ROW(Source!A76)</f>
        <v>76</v>
      </c>
      <c r="B88">
        <v>48370848</v>
      </c>
      <c r="C88">
        <v>48370816</v>
      </c>
      <c r="D88">
        <v>37777058</v>
      </c>
      <c r="E88">
        <v>1</v>
      </c>
      <c r="F88">
        <v>1</v>
      </c>
      <c r="G88">
        <v>1</v>
      </c>
      <c r="H88">
        <v>3</v>
      </c>
      <c r="I88" t="s">
        <v>613</v>
      </c>
      <c r="J88" t="s">
        <v>614</v>
      </c>
      <c r="K88" t="s">
        <v>615</v>
      </c>
      <c r="L88">
        <v>1346</v>
      </c>
      <c r="N88">
        <v>1009</v>
      </c>
      <c r="O88" t="s">
        <v>172</v>
      </c>
      <c r="P88" t="s">
        <v>172</v>
      </c>
      <c r="Q88">
        <v>1</v>
      </c>
      <c r="X88">
        <v>4.0000000000000001E-3</v>
      </c>
      <c r="Y88">
        <v>1.42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4.0000000000000001E-3</v>
      </c>
      <c r="AH88">
        <v>2</v>
      </c>
      <c r="AI88">
        <v>48370831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>
      <c r="A89">
        <f>ROW(Source!A76)</f>
        <v>76</v>
      </c>
      <c r="B89">
        <v>48370849</v>
      </c>
      <c r="C89">
        <v>48370816</v>
      </c>
      <c r="D89">
        <v>37777802</v>
      </c>
      <c r="E89">
        <v>1</v>
      </c>
      <c r="F89">
        <v>1</v>
      </c>
      <c r="G89">
        <v>1</v>
      </c>
      <c r="H89">
        <v>3</v>
      </c>
      <c r="I89" t="s">
        <v>616</v>
      </c>
      <c r="J89" t="s">
        <v>617</v>
      </c>
      <c r="K89" t="s">
        <v>618</v>
      </c>
      <c r="L89">
        <v>1339</v>
      </c>
      <c r="N89">
        <v>1007</v>
      </c>
      <c r="O89" t="s">
        <v>543</v>
      </c>
      <c r="P89" t="s">
        <v>543</v>
      </c>
      <c r="Q89">
        <v>1</v>
      </c>
      <c r="X89">
        <v>1.21</v>
      </c>
      <c r="Y89">
        <v>2.4700000000000002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1.21</v>
      </c>
      <c r="AH89">
        <v>2</v>
      </c>
      <c r="AI89">
        <v>48370832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>
      <c r="A90">
        <f>ROW(Source!A76)</f>
        <v>76</v>
      </c>
      <c r="B90">
        <v>48370850</v>
      </c>
      <c r="C90">
        <v>48370816</v>
      </c>
      <c r="D90">
        <v>37786634</v>
      </c>
      <c r="E90">
        <v>1</v>
      </c>
      <c r="F90">
        <v>1</v>
      </c>
      <c r="G90">
        <v>1</v>
      </c>
      <c r="H90">
        <v>3</v>
      </c>
      <c r="I90" t="s">
        <v>619</v>
      </c>
      <c r="J90" t="s">
        <v>620</v>
      </c>
      <c r="K90" t="s">
        <v>621</v>
      </c>
      <c r="L90">
        <v>1302</v>
      </c>
      <c r="N90">
        <v>1003</v>
      </c>
      <c r="O90" t="s">
        <v>622</v>
      </c>
      <c r="P90" t="s">
        <v>622</v>
      </c>
      <c r="Q90">
        <v>10</v>
      </c>
      <c r="X90">
        <v>9.3800000000000008</v>
      </c>
      <c r="Y90">
        <v>74.599999999999994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9.3800000000000008</v>
      </c>
      <c r="AH90">
        <v>2</v>
      </c>
      <c r="AI90">
        <v>48370833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>
      <c r="A91">
        <f>ROW(Source!A77)</f>
        <v>77</v>
      </c>
      <c r="B91">
        <v>48370861</v>
      </c>
      <c r="C91">
        <v>48370851</v>
      </c>
      <c r="D91">
        <v>23146426</v>
      </c>
      <c r="E91">
        <v>1</v>
      </c>
      <c r="F91">
        <v>1</v>
      </c>
      <c r="G91">
        <v>1</v>
      </c>
      <c r="H91">
        <v>1</v>
      </c>
      <c r="I91" t="s">
        <v>569</v>
      </c>
      <c r="J91" t="s">
        <v>3</v>
      </c>
      <c r="K91" t="s">
        <v>570</v>
      </c>
      <c r="L91">
        <v>1369</v>
      </c>
      <c r="N91">
        <v>1013</v>
      </c>
      <c r="O91" t="s">
        <v>510</v>
      </c>
      <c r="P91" t="s">
        <v>510</v>
      </c>
      <c r="Q91">
        <v>1</v>
      </c>
      <c r="X91">
        <v>61.9</v>
      </c>
      <c r="Y91">
        <v>0</v>
      </c>
      <c r="Z91">
        <v>0</v>
      </c>
      <c r="AA91">
        <v>0</v>
      </c>
      <c r="AB91">
        <v>9.27</v>
      </c>
      <c r="AC91">
        <v>0</v>
      </c>
      <c r="AD91">
        <v>1</v>
      </c>
      <c r="AE91">
        <v>1</v>
      </c>
      <c r="AF91" t="s">
        <v>3</v>
      </c>
      <c r="AG91">
        <v>61.9</v>
      </c>
      <c r="AH91">
        <v>2</v>
      </c>
      <c r="AI91">
        <v>48370852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>
      <c r="A92">
        <f>ROW(Source!A77)</f>
        <v>77</v>
      </c>
      <c r="B92">
        <v>48370862</v>
      </c>
      <c r="C92">
        <v>48370851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24</v>
      </c>
      <c r="J92" t="s">
        <v>3</v>
      </c>
      <c r="K92" t="s">
        <v>511</v>
      </c>
      <c r="L92">
        <v>608254</v>
      </c>
      <c r="N92">
        <v>1013</v>
      </c>
      <c r="O92" t="s">
        <v>512</v>
      </c>
      <c r="P92" t="s">
        <v>512</v>
      </c>
      <c r="Q92">
        <v>1</v>
      </c>
      <c r="X92">
        <v>0.2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2</v>
      </c>
      <c r="AF92" t="s">
        <v>3</v>
      </c>
      <c r="AG92">
        <v>0.2</v>
      </c>
      <c r="AH92">
        <v>2</v>
      </c>
      <c r="AI92">
        <v>48370853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>
      <c r="A93">
        <f>ROW(Source!A77)</f>
        <v>77</v>
      </c>
      <c r="B93">
        <v>48370863</v>
      </c>
      <c r="C93">
        <v>48370851</v>
      </c>
      <c r="D93">
        <v>37802578</v>
      </c>
      <c r="E93">
        <v>1</v>
      </c>
      <c r="F93">
        <v>1</v>
      </c>
      <c r="G93">
        <v>1</v>
      </c>
      <c r="H93">
        <v>2</v>
      </c>
      <c r="I93" t="s">
        <v>550</v>
      </c>
      <c r="J93" t="s">
        <v>551</v>
      </c>
      <c r="K93" t="s">
        <v>552</v>
      </c>
      <c r="L93">
        <v>1368</v>
      </c>
      <c r="N93">
        <v>1011</v>
      </c>
      <c r="O93" t="s">
        <v>516</v>
      </c>
      <c r="P93" t="s">
        <v>516</v>
      </c>
      <c r="Q93">
        <v>1</v>
      </c>
      <c r="X93">
        <v>0.2</v>
      </c>
      <c r="Y93">
        <v>0</v>
      </c>
      <c r="Z93">
        <v>32.090000000000003</v>
      </c>
      <c r="AA93">
        <v>12.1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0.2</v>
      </c>
      <c r="AH93">
        <v>2</v>
      </c>
      <c r="AI93">
        <v>48370854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>
      <c r="A94">
        <f>ROW(Source!A77)</f>
        <v>77</v>
      </c>
      <c r="B94">
        <v>48370864</v>
      </c>
      <c r="C94">
        <v>48370851</v>
      </c>
      <c r="D94">
        <v>37804456</v>
      </c>
      <c r="E94">
        <v>1</v>
      </c>
      <c r="F94">
        <v>1</v>
      </c>
      <c r="G94">
        <v>1</v>
      </c>
      <c r="H94">
        <v>2</v>
      </c>
      <c r="I94" t="s">
        <v>530</v>
      </c>
      <c r="J94" t="s">
        <v>531</v>
      </c>
      <c r="K94" t="s">
        <v>532</v>
      </c>
      <c r="L94">
        <v>1368</v>
      </c>
      <c r="N94">
        <v>1011</v>
      </c>
      <c r="O94" t="s">
        <v>516</v>
      </c>
      <c r="P94" t="s">
        <v>516</v>
      </c>
      <c r="Q94">
        <v>1</v>
      </c>
      <c r="X94">
        <v>0.2</v>
      </c>
      <c r="Y94">
        <v>0</v>
      </c>
      <c r="Z94">
        <v>91.76</v>
      </c>
      <c r="AA94">
        <v>10.35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0.2</v>
      </c>
      <c r="AH94">
        <v>2</v>
      </c>
      <c r="AI94">
        <v>48370855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>
      <c r="A95">
        <f>ROW(Source!A77)</f>
        <v>77</v>
      </c>
      <c r="B95">
        <v>48370865</v>
      </c>
      <c r="C95">
        <v>48370851</v>
      </c>
      <c r="D95">
        <v>37732155</v>
      </c>
      <c r="E95">
        <v>1</v>
      </c>
      <c r="F95">
        <v>1</v>
      </c>
      <c r="G95">
        <v>1</v>
      </c>
      <c r="H95">
        <v>3</v>
      </c>
      <c r="I95" t="s">
        <v>571</v>
      </c>
      <c r="J95" t="s">
        <v>572</v>
      </c>
      <c r="K95" t="s">
        <v>573</v>
      </c>
      <c r="L95">
        <v>1346</v>
      </c>
      <c r="N95">
        <v>1009</v>
      </c>
      <c r="O95" t="s">
        <v>172</v>
      </c>
      <c r="P95" t="s">
        <v>172</v>
      </c>
      <c r="Q95">
        <v>1</v>
      </c>
      <c r="X95">
        <v>4</v>
      </c>
      <c r="Y95">
        <v>24.41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4</v>
      </c>
      <c r="AH95">
        <v>2</v>
      </c>
      <c r="AI95">
        <v>48370856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>
      <c r="A96">
        <f>ROW(Source!A77)</f>
        <v>77</v>
      </c>
      <c r="B96">
        <v>48370866</v>
      </c>
      <c r="C96">
        <v>48370851</v>
      </c>
      <c r="D96">
        <v>37736852</v>
      </c>
      <c r="E96">
        <v>1</v>
      </c>
      <c r="F96">
        <v>1</v>
      </c>
      <c r="G96">
        <v>1</v>
      </c>
      <c r="H96">
        <v>3</v>
      </c>
      <c r="I96" t="s">
        <v>574</v>
      </c>
      <c r="J96" t="s">
        <v>575</v>
      </c>
      <c r="K96" t="s">
        <v>576</v>
      </c>
      <c r="L96">
        <v>1348</v>
      </c>
      <c r="N96">
        <v>1009</v>
      </c>
      <c r="O96" t="s">
        <v>536</v>
      </c>
      <c r="P96" t="s">
        <v>536</v>
      </c>
      <c r="Q96">
        <v>1000</v>
      </c>
      <c r="X96">
        <v>2.7000000000000001E-3</v>
      </c>
      <c r="Y96">
        <v>14830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2.7000000000000001E-3</v>
      </c>
      <c r="AH96">
        <v>2</v>
      </c>
      <c r="AI96">
        <v>48370857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>
      <c r="A97">
        <f>ROW(Source!A77)</f>
        <v>77</v>
      </c>
      <c r="B97">
        <v>48370867</v>
      </c>
      <c r="C97">
        <v>48370851</v>
      </c>
      <c r="D97">
        <v>37762030</v>
      </c>
      <c r="E97">
        <v>1</v>
      </c>
      <c r="F97">
        <v>1</v>
      </c>
      <c r="G97">
        <v>1</v>
      </c>
      <c r="H97">
        <v>3</v>
      </c>
      <c r="I97" t="s">
        <v>577</v>
      </c>
      <c r="J97" t="s">
        <v>578</v>
      </c>
      <c r="K97" t="s">
        <v>579</v>
      </c>
      <c r="L97">
        <v>1346</v>
      </c>
      <c r="N97">
        <v>1009</v>
      </c>
      <c r="O97" t="s">
        <v>172</v>
      </c>
      <c r="P97" t="s">
        <v>172</v>
      </c>
      <c r="Q97">
        <v>1</v>
      </c>
      <c r="X97">
        <v>0</v>
      </c>
      <c r="Y97">
        <v>0</v>
      </c>
      <c r="Z97">
        <v>0</v>
      </c>
      <c r="AA97">
        <v>0</v>
      </c>
      <c r="AB97">
        <v>0</v>
      </c>
      <c r="AC97">
        <v>1</v>
      </c>
      <c r="AD97">
        <v>0</v>
      </c>
      <c r="AE97">
        <v>0</v>
      </c>
      <c r="AF97" t="s">
        <v>3</v>
      </c>
      <c r="AG97">
        <v>0</v>
      </c>
      <c r="AH97">
        <v>2</v>
      </c>
      <c r="AI97">
        <v>48370858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>
      <c r="A98">
        <f>ROW(Source!A77)</f>
        <v>77</v>
      </c>
      <c r="B98">
        <v>48370868</v>
      </c>
      <c r="C98">
        <v>48370851</v>
      </c>
      <c r="D98">
        <v>37767093</v>
      </c>
      <c r="E98">
        <v>1</v>
      </c>
      <c r="F98">
        <v>1</v>
      </c>
      <c r="G98">
        <v>1</v>
      </c>
      <c r="H98">
        <v>3</v>
      </c>
      <c r="I98" t="s">
        <v>580</v>
      </c>
      <c r="J98" t="s">
        <v>581</v>
      </c>
      <c r="K98" t="s">
        <v>582</v>
      </c>
      <c r="L98">
        <v>1301</v>
      </c>
      <c r="N98">
        <v>1003</v>
      </c>
      <c r="O98" t="s">
        <v>208</v>
      </c>
      <c r="P98" t="s">
        <v>208</v>
      </c>
      <c r="Q98">
        <v>1</v>
      </c>
      <c r="X98">
        <v>99.8</v>
      </c>
      <c r="Y98">
        <v>119.15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99.8</v>
      </c>
      <c r="AH98">
        <v>2</v>
      </c>
      <c r="AI98">
        <v>48370859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>
      <c r="A99">
        <f>ROW(Source!A77)</f>
        <v>77</v>
      </c>
      <c r="B99">
        <v>48370869</v>
      </c>
      <c r="C99">
        <v>48370851</v>
      </c>
      <c r="D99">
        <v>37792787</v>
      </c>
      <c r="E99">
        <v>1</v>
      </c>
      <c r="F99">
        <v>1</v>
      </c>
      <c r="G99">
        <v>1</v>
      </c>
      <c r="H99">
        <v>3</v>
      </c>
      <c r="I99" t="s">
        <v>555</v>
      </c>
      <c r="J99" t="s">
        <v>556</v>
      </c>
      <c r="K99" t="s">
        <v>557</v>
      </c>
      <c r="L99">
        <v>1348</v>
      </c>
      <c r="N99">
        <v>1009</v>
      </c>
      <c r="O99" t="s">
        <v>536</v>
      </c>
      <c r="P99" t="s">
        <v>536</v>
      </c>
      <c r="Q99">
        <v>1000</v>
      </c>
      <c r="X99">
        <v>0.11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 t="s">
        <v>3</v>
      </c>
      <c r="AG99">
        <v>0.11</v>
      </c>
      <c r="AH99">
        <v>2</v>
      </c>
      <c r="AI99">
        <v>48370860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>
      <c r="A100">
        <f>ROW(Source!A78)</f>
        <v>78</v>
      </c>
      <c r="B100">
        <v>48371679</v>
      </c>
      <c r="C100">
        <v>48371678</v>
      </c>
      <c r="D100">
        <v>23135499</v>
      </c>
      <c r="E100">
        <v>1</v>
      </c>
      <c r="F100">
        <v>1</v>
      </c>
      <c r="G100">
        <v>1</v>
      </c>
      <c r="H100">
        <v>1</v>
      </c>
      <c r="I100" t="s">
        <v>623</v>
      </c>
      <c r="J100" t="s">
        <v>3</v>
      </c>
      <c r="K100" t="s">
        <v>624</v>
      </c>
      <c r="L100">
        <v>1369</v>
      </c>
      <c r="N100">
        <v>1013</v>
      </c>
      <c r="O100" t="s">
        <v>510</v>
      </c>
      <c r="P100" t="s">
        <v>510</v>
      </c>
      <c r="Q100">
        <v>1</v>
      </c>
      <c r="X100">
        <v>6.55</v>
      </c>
      <c r="Y100">
        <v>0</v>
      </c>
      <c r="Z100">
        <v>0</v>
      </c>
      <c r="AA100">
        <v>0</v>
      </c>
      <c r="AB100">
        <v>8.99</v>
      </c>
      <c r="AC100">
        <v>0</v>
      </c>
      <c r="AD100">
        <v>1</v>
      </c>
      <c r="AE100">
        <v>1</v>
      </c>
      <c r="AF100" t="s">
        <v>161</v>
      </c>
      <c r="AG100">
        <v>7.5324999999999989</v>
      </c>
      <c r="AH100">
        <v>2</v>
      </c>
      <c r="AI100">
        <v>48371679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>
      <c r="A101">
        <f>ROW(Source!A78)</f>
        <v>78</v>
      </c>
      <c r="B101">
        <v>48371680</v>
      </c>
      <c r="C101">
        <v>48371678</v>
      </c>
      <c r="D101">
        <v>121548</v>
      </c>
      <c r="E101">
        <v>1</v>
      </c>
      <c r="F101">
        <v>1</v>
      </c>
      <c r="G101">
        <v>1</v>
      </c>
      <c r="H101">
        <v>1</v>
      </c>
      <c r="I101" t="s">
        <v>24</v>
      </c>
      <c r="J101" t="s">
        <v>3</v>
      </c>
      <c r="K101" t="s">
        <v>511</v>
      </c>
      <c r="L101">
        <v>608254</v>
      </c>
      <c r="N101">
        <v>1013</v>
      </c>
      <c r="O101" t="s">
        <v>512</v>
      </c>
      <c r="P101" t="s">
        <v>512</v>
      </c>
      <c r="Q101">
        <v>1</v>
      </c>
      <c r="X101">
        <v>0.01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2</v>
      </c>
      <c r="AF101" t="s">
        <v>160</v>
      </c>
      <c r="AG101">
        <v>1.2500000000000001E-2</v>
      </c>
      <c r="AH101">
        <v>2</v>
      </c>
      <c r="AI101">
        <v>48371680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>
      <c r="A102">
        <f>ROW(Source!A78)</f>
        <v>78</v>
      </c>
      <c r="B102">
        <v>48371681</v>
      </c>
      <c r="C102">
        <v>48371678</v>
      </c>
      <c r="D102">
        <v>37802578</v>
      </c>
      <c r="E102">
        <v>1</v>
      </c>
      <c r="F102">
        <v>1</v>
      </c>
      <c r="G102">
        <v>1</v>
      </c>
      <c r="H102">
        <v>2</v>
      </c>
      <c r="I102" t="s">
        <v>550</v>
      </c>
      <c r="J102" t="s">
        <v>551</v>
      </c>
      <c r="K102" t="s">
        <v>552</v>
      </c>
      <c r="L102">
        <v>1368</v>
      </c>
      <c r="N102">
        <v>1011</v>
      </c>
      <c r="O102" t="s">
        <v>516</v>
      </c>
      <c r="P102" t="s">
        <v>516</v>
      </c>
      <c r="Q102">
        <v>1</v>
      </c>
      <c r="X102">
        <v>0.01</v>
      </c>
      <c r="Y102">
        <v>0</v>
      </c>
      <c r="Z102">
        <v>32.090000000000003</v>
      </c>
      <c r="AA102">
        <v>12.1</v>
      </c>
      <c r="AB102">
        <v>0</v>
      </c>
      <c r="AC102">
        <v>0</v>
      </c>
      <c r="AD102">
        <v>1</v>
      </c>
      <c r="AE102">
        <v>0</v>
      </c>
      <c r="AF102" t="s">
        <v>160</v>
      </c>
      <c r="AG102">
        <v>1.2500000000000001E-2</v>
      </c>
      <c r="AH102">
        <v>2</v>
      </c>
      <c r="AI102">
        <v>48371681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>
      <c r="A103">
        <f>ROW(Source!A78)</f>
        <v>78</v>
      </c>
      <c r="B103">
        <v>48371682</v>
      </c>
      <c r="C103">
        <v>48371678</v>
      </c>
      <c r="D103">
        <v>37804456</v>
      </c>
      <c r="E103">
        <v>1</v>
      </c>
      <c r="F103">
        <v>1</v>
      </c>
      <c r="G103">
        <v>1</v>
      </c>
      <c r="H103">
        <v>2</v>
      </c>
      <c r="I103" t="s">
        <v>530</v>
      </c>
      <c r="J103" t="s">
        <v>531</v>
      </c>
      <c r="K103" t="s">
        <v>532</v>
      </c>
      <c r="L103">
        <v>1368</v>
      </c>
      <c r="N103">
        <v>1011</v>
      </c>
      <c r="O103" t="s">
        <v>516</v>
      </c>
      <c r="P103" t="s">
        <v>516</v>
      </c>
      <c r="Q103">
        <v>1</v>
      </c>
      <c r="X103">
        <v>0.01</v>
      </c>
      <c r="Y103">
        <v>0</v>
      </c>
      <c r="Z103">
        <v>91.76</v>
      </c>
      <c r="AA103">
        <v>10.35</v>
      </c>
      <c r="AB103">
        <v>0</v>
      </c>
      <c r="AC103">
        <v>0</v>
      </c>
      <c r="AD103">
        <v>1</v>
      </c>
      <c r="AE103">
        <v>0</v>
      </c>
      <c r="AF103" t="s">
        <v>160</v>
      </c>
      <c r="AG103">
        <v>1.2500000000000001E-2</v>
      </c>
      <c r="AH103">
        <v>2</v>
      </c>
      <c r="AI103">
        <v>48371682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>
      <c r="A104">
        <f>ROW(Source!A78)</f>
        <v>78</v>
      </c>
      <c r="B104">
        <v>48371683</v>
      </c>
      <c r="C104">
        <v>48371678</v>
      </c>
      <c r="D104">
        <v>37729991</v>
      </c>
      <c r="E104">
        <v>1</v>
      </c>
      <c r="F104">
        <v>1</v>
      </c>
      <c r="G104">
        <v>1</v>
      </c>
      <c r="H104">
        <v>3</v>
      </c>
      <c r="I104" t="s">
        <v>625</v>
      </c>
      <c r="J104" t="s">
        <v>626</v>
      </c>
      <c r="K104" t="s">
        <v>627</v>
      </c>
      <c r="L104">
        <v>1346</v>
      </c>
      <c r="N104">
        <v>1009</v>
      </c>
      <c r="O104" t="s">
        <v>172</v>
      </c>
      <c r="P104" t="s">
        <v>172</v>
      </c>
      <c r="Q104">
        <v>1</v>
      </c>
      <c r="X104">
        <v>0.1</v>
      </c>
      <c r="Y104">
        <v>1.82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0.1</v>
      </c>
      <c r="AH104">
        <v>2</v>
      </c>
      <c r="AI104">
        <v>48371683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>
      <c r="A105">
        <f>ROW(Source!A78)</f>
        <v>78</v>
      </c>
      <c r="B105">
        <v>48371684</v>
      </c>
      <c r="C105">
        <v>48371678</v>
      </c>
      <c r="D105">
        <v>37731442</v>
      </c>
      <c r="E105">
        <v>1</v>
      </c>
      <c r="F105">
        <v>1</v>
      </c>
      <c r="G105">
        <v>1</v>
      </c>
      <c r="H105">
        <v>3</v>
      </c>
      <c r="I105" t="s">
        <v>628</v>
      </c>
      <c r="J105" t="s">
        <v>629</v>
      </c>
      <c r="K105" t="s">
        <v>630</v>
      </c>
      <c r="L105">
        <v>1348</v>
      </c>
      <c r="N105">
        <v>1009</v>
      </c>
      <c r="O105" t="s">
        <v>536</v>
      </c>
      <c r="P105" t="s">
        <v>536</v>
      </c>
      <c r="Q105">
        <v>1000</v>
      </c>
      <c r="X105">
        <v>1.2999999999999999E-2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 t="s">
        <v>3</v>
      </c>
      <c r="AG105">
        <v>1.2999999999999999E-2</v>
      </c>
      <c r="AH105">
        <v>2</v>
      </c>
      <c r="AI105">
        <v>48371684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>
      <c r="A106">
        <f>ROW(Source!A80)</f>
        <v>80</v>
      </c>
      <c r="B106">
        <v>48371075</v>
      </c>
      <c r="C106">
        <v>48371074</v>
      </c>
      <c r="D106">
        <v>23129487</v>
      </c>
      <c r="E106">
        <v>1</v>
      </c>
      <c r="F106">
        <v>1</v>
      </c>
      <c r="G106">
        <v>1</v>
      </c>
      <c r="H106">
        <v>1</v>
      </c>
      <c r="I106" t="s">
        <v>631</v>
      </c>
      <c r="J106" t="s">
        <v>3</v>
      </c>
      <c r="K106" t="s">
        <v>632</v>
      </c>
      <c r="L106">
        <v>1369</v>
      </c>
      <c r="N106">
        <v>1013</v>
      </c>
      <c r="O106" t="s">
        <v>510</v>
      </c>
      <c r="P106" t="s">
        <v>510</v>
      </c>
      <c r="Q106">
        <v>1</v>
      </c>
      <c r="X106">
        <v>75.400000000000006</v>
      </c>
      <c r="Y106">
        <v>0</v>
      </c>
      <c r="Z106">
        <v>0</v>
      </c>
      <c r="AA106">
        <v>0</v>
      </c>
      <c r="AB106">
        <v>8.48</v>
      </c>
      <c r="AC106">
        <v>0</v>
      </c>
      <c r="AD106">
        <v>1</v>
      </c>
      <c r="AE106">
        <v>1</v>
      </c>
      <c r="AF106" t="s">
        <v>161</v>
      </c>
      <c r="AG106">
        <v>86.71</v>
      </c>
      <c r="AH106">
        <v>2</v>
      </c>
      <c r="AI106">
        <v>48371075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>
      <c r="A107">
        <f>ROW(Source!A80)</f>
        <v>80</v>
      </c>
      <c r="B107">
        <v>48371076</v>
      </c>
      <c r="C107">
        <v>48371074</v>
      </c>
      <c r="D107">
        <v>121548</v>
      </c>
      <c r="E107">
        <v>1</v>
      </c>
      <c r="F107">
        <v>1</v>
      </c>
      <c r="G107">
        <v>1</v>
      </c>
      <c r="H107">
        <v>1</v>
      </c>
      <c r="I107" t="s">
        <v>24</v>
      </c>
      <c r="J107" t="s">
        <v>3</v>
      </c>
      <c r="K107" t="s">
        <v>511</v>
      </c>
      <c r="L107">
        <v>608254</v>
      </c>
      <c r="N107">
        <v>1013</v>
      </c>
      <c r="O107" t="s">
        <v>512</v>
      </c>
      <c r="P107" t="s">
        <v>512</v>
      </c>
      <c r="Q107">
        <v>1</v>
      </c>
      <c r="X107">
        <v>6.07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2</v>
      </c>
      <c r="AF107" t="s">
        <v>160</v>
      </c>
      <c r="AG107">
        <v>7.5875000000000004</v>
      </c>
      <c r="AH107">
        <v>2</v>
      </c>
      <c r="AI107">
        <v>48371076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>
      <c r="A108">
        <f>ROW(Source!A80)</f>
        <v>80</v>
      </c>
      <c r="B108">
        <v>48371077</v>
      </c>
      <c r="C108">
        <v>48371074</v>
      </c>
      <c r="D108">
        <v>37802578</v>
      </c>
      <c r="E108">
        <v>1</v>
      </c>
      <c r="F108">
        <v>1</v>
      </c>
      <c r="G108">
        <v>1</v>
      </c>
      <c r="H108">
        <v>2</v>
      </c>
      <c r="I108" t="s">
        <v>550</v>
      </c>
      <c r="J108" t="s">
        <v>551</v>
      </c>
      <c r="K108" t="s">
        <v>552</v>
      </c>
      <c r="L108">
        <v>1368</v>
      </c>
      <c r="N108">
        <v>1011</v>
      </c>
      <c r="O108" t="s">
        <v>516</v>
      </c>
      <c r="P108" t="s">
        <v>516</v>
      </c>
      <c r="Q108">
        <v>1</v>
      </c>
      <c r="X108">
        <v>0.62</v>
      </c>
      <c r="Y108">
        <v>0</v>
      </c>
      <c r="Z108">
        <v>32.090000000000003</v>
      </c>
      <c r="AA108">
        <v>12.1</v>
      </c>
      <c r="AB108">
        <v>0</v>
      </c>
      <c r="AC108">
        <v>0</v>
      </c>
      <c r="AD108">
        <v>1</v>
      </c>
      <c r="AE108">
        <v>0</v>
      </c>
      <c r="AF108" t="s">
        <v>160</v>
      </c>
      <c r="AG108">
        <v>0.77500000000000002</v>
      </c>
      <c r="AH108">
        <v>2</v>
      </c>
      <c r="AI108">
        <v>48371077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>
      <c r="A109">
        <f>ROW(Source!A80)</f>
        <v>80</v>
      </c>
      <c r="B109">
        <v>48371078</v>
      </c>
      <c r="C109">
        <v>48371074</v>
      </c>
      <c r="D109">
        <v>37803004</v>
      </c>
      <c r="E109">
        <v>1</v>
      </c>
      <c r="F109">
        <v>1</v>
      </c>
      <c r="G109">
        <v>1</v>
      </c>
      <c r="H109">
        <v>2</v>
      </c>
      <c r="I109" t="s">
        <v>633</v>
      </c>
      <c r="J109" t="s">
        <v>634</v>
      </c>
      <c r="K109" t="s">
        <v>635</v>
      </c>
      <c r="L109">
        <v>1368</v>
      </c>
      <c r="N109">
        <v>1011</v>
      </c>
      <c r="O109" t="s">
        <v>516</v>
      </c>
      <c r="P109" t="s">
        <v>516</v>
      </c>
      <c r="Q109">
        <v>1</v>
      </c>
      <c r="X109">
        <v>5.45</v>
      </c>
      <c r="Y109">
        <v>0</v>
      </c>
      <c r="Z109">
        <v>14.75</v>
      </c>
      <c r="AA109">
        <v>8</v>
      </c>
      <c r="AB109">
        <v>0</v>
      </c>
      <c r="AC109">
        <v>0</v>
      </c>
      <c r="AD109">
        <v>1</v>
      </c>
      <c r="AE109">
        <v>0</v>
      </c>
      <c r="AF109" t="s">
        <v>160</v>
      </c>
      <c r="AG109">
        <v>6.8125</v>
      </c>
      <c r="AH109">
        <v>2</v>
      </c>
      <c r="AI109">
        <v>48371078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>
      <c r="A110">
        <f>ROW(Source!A80)</f>
        <v>80</v>
      </c>
      <c r="B110">
        <v>48371079</v>
      </c>
      <c r="C110">
        <v>48371074</v>
      </c>
      <c r="D110">
        <v>37736937</v>
      </c>
      <c r="E110">
        <v>1</v>
      </c>
      <c r="F110">
        <v>1</v>
      </c>
      <c r="G110">
        <v>1</v>
      </c>
      <c r="H110">
        <v>3</v>
      </c>
      <c r="I110" t="s">
        <v>636</v>
      </c>
      <c r="J110" t="s">
        <v>637</v>
      </c>
      <c r="K110" t="s">
        <v>638</v>
      </c>
      <c r="L110">
        <v>1348</v>
      </c>
      <c r="N110">
        <v>1009</v>
      </c>
      <c r="O110" t="s">
        <v>536</v>
      </c>
      <c r="P110" t="s">
        <v>536</v>
      </c>
      <c r="Q110">
        <v>1000</v>
      </c>
      <c r="X110">
        <v>6.9999999999999994E-5</v>
      </c>
      <c r="Y110">
        <v>9153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6.9999999999999994E-5</v>
      </c>
      <c r="AH110">
        <v>2</v>
      </c>
      <c r="AI110">
        <v>48371079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>
      <c r="A111">
        <f>ROW(Source!A80)</f>
        <v>80</v>
      </c>
      <c r="B111">
        <v>48371080</v>
      </c>
      <c r="C111">
        <v>48371074</v>
      </c>
      <c r="D111">
        <v>37735510</v>
      </c>
      <c r="E111">
        <v>1</v>
      </c>
      <c r="F111">
        <v>1</v>
      </c>
      <c r="G111">
        <v>1</v>
      </c>
      <c r="H111">
        <v>3</v>
      </c>
      <c r="I111" t="s">
        <v>639</v>
      </c>
      <c r="J111" t="s">
        <v>640</v>
      </c>
      <c r="K111" t="s">
        <v>641</v>
      </c>
      <c r="L111">
        <v>1327</v>
      </c>
      <c r="N111">
        <v>1005</v>
      </c>
      <c r="O111" t="s">
        <v>189</v>
      </c>
      <c r="P111" t="s">
        <v>189</v>
      </c>
      <c r="Q111">
        <v>1</v>
      </c>
      <c r="X111">
        <v>2.77</v>
      </c>
      <c r="Y111">
        <v>28.25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2.77</v>
      </c>
      <c r="AH111">
        <v>2</v>
      </c>
      <c r="AI111">
        <v>48371080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>
      <c r="A112">
        <f>ROW(Source!A80)</f>
        <v>80</v>
      </c>
      <c r="B112">
        <v>48371081</v>
      </c>
      <c r="C112">
        <v>48371074</v>
      </c>
      <c r="D112">
        <v>37768066</v>
      </c>
      <c r="E112">
        <v>1</v>
      </c>
      <c r="F112">
        <v>1</v>
      </c>
      <c r="G112">
        <v>1</v>
      </c>
      <c r="H112">
        <v>3</v>
      </c>
      <c r="I112" t="s">
        <v>642</v>
      </c>
      <c r="J112" t="s">
        <v>643</v>
      </c>
      <c r="K112" t="s">
        <v>644</v>
      </c>
      <c r="L112">
        <v>1339</v>
      </c>
      <c r="N112">
        <v>1007</v>
      </c>
      <c r="O112" t="s">
        <v>543</v>
      </c>
      <c r="P112" t="s">
        <v>543</v>
      </c>
      <c r="Q112">
        <v>1</v>
      </c>
      <c r="X112">
        <v>1.51</v>
      </c>
      <c r="Y112">
        <v>399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1.51</v>
      </c>
      <c r="AH112">
        <v>2</v>
      </c>
      <c r="AI112">
        <v>48371081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>
      <c r="A113">
        <f>ROW(Source!A80)</f>
        <v>80</v>
      </c>
      <c r="B113">
        <v>48371082</v>
      </c>
      <c r="C113">
        <v>48371074</v>
      </c>
      <c r="D113">
        <v>37777026</v>
      </c>
      <c r="E113">
        <v>1</v>
      </c>
      <c r="F113">
        <v>1</v>
      </c>
      <c r="G113">
        <v>1</v>
      </c>
      <c r="H113">
        <v>3</v>
      </c>
      <c r="I113" t="s">
        <v>645</v>
      </c>
      <c r="J113" t="s">
        <v>646</v>
      </c>
      <c r="K113" t="s">
        <v>647</v>
      </c>
      <c r="L113">
        <v>1348</v>
      </c>
      <c r="N113">
        <v>1009</v>
      </c>
      <c r="O113" t="s">
        <v>536</v>
      </c>
      <c r="P113" t="s">
        <v>536</v>
      </c>
      <c r="Q113">
        <v>1000</v>
      </c>
      <c r="X113">
        <v>6.0000000000000001E-3</v>
      </c>
      <c r="Y113">
        <v>729.98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6.0000000000000001E-3</v>
      </c>
      <c r="AH113">
        <v>2</v>
      </c>
      <c r="AI113">
        <v>48371082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>
      <c r="A114">
        <f>ROW(Source!A81)</f>
        <v>81</v>
      </c>
      <c r="B114">
        <v>48371105</v>
      </c>
      <c r="C114">
        <v>48371104</v>
      </c>
      <c r="D114">
        <v>23136905</v>
      </c>
      <c r="E114">
        <v>1</v>
      </c>
      <c r="F114">
        <v>1</v>
      </c>
      <c r="G114">
        <v>1</v>
      </c>
      <c r="H114">
        <v>1</v>
      </c>
      <c r="I114" t="s">
        <v>648</v>
      </c>
      <c r="J114" t="s">
        <v>3</v>
      </c>
      <c r="K114" t="s">
        <v>649</v>
      </c>
      <c r="L114">
        <v>1369</v>
      </c>
      <c r="N114">
        <v>1013</v>
      </c>
      <c r="O114" t="s">
        <v>510</v>
      </c>
      <c r="P114" t="s">
        <v>510</v>
      </c>
      <c r="Q114">
        <v>1</v>
      </c>
      <c r="X114">
        <v>159.66999999999999</v>
      </c>
      <c r="Y114">
        <v>0</v>
      </c>
      <c r="Z114">
        <v>0</v>
      </c>
      <c r="AA114">
        <v>0</v>
      </c>
      <c r="AB114">
        <v>8.58</v>
      </c>
      <c r="AC114">
        <v>0</v>
      </c>
      <c r="AD114">
        <v>1</v>
      </c>
      <c r="AE114">
        <v>1</v>
      </c>
      <c r="AF114" t="s">
        <v>161</v>
      </c>
      <c r="AG114">
        <v>183.62049999999996</v>
      </c>
      <c r="AH114">
        <v>2</v>
      </c>
      <c r="AI114">
        <v>48371105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>
      <c r="A115">
        <f>ROW(Source!A81)</f>
        <v>81</v>
      </c>
      <c r="B115">
        <v>48371106</v>
      </c>
      <c r="C115">
        <v>48371104</v>
      </c>
      <c r="D115">
        <v>121548</v>
      </c>
      <c r="E115">
        <v>1</v>
      </c>
      <c r="F115">
        <v>1</v>
      </c>
      <c r="G115">
        <v>1</v>
      </c>
      <c r="H115">
        <v>1</v>
      </c>
      <c r="I115" t="s">
        <v>24</v>
      </c>
      <c r="J115" t="s">
        <v>3</v>
      </c>
      <c r="K115" t="s">
        <v>511</v>
      </c>
      <c r="L115">
        <v>608254</v>
      </c>
      <c r="N115">
        <v>1013</v>
      </c>
      <c r="O115" t="s">
        <v>512</v>
      </c>
      <c r="P115" t="s">
        <v>512</v>
      </c>
      <c r="Q115">
        <v>1</v>
      </c>
      <c r="X115">
        <v>1.65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160</v>
      </c>
      <c r="AG115">
        <v>2.0625</v>
      </c>
      <c r="AH115">
        <v>2</v>
      </c>
      <c r="AI115">
        <v>48371106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>
      <c r="A116">
        <f>ROW(Source!A81)</f>
        <v>81</v>
      </c>
      <c r="B116">
        <v>48371107</v>
      </c>
      <c r="C116">
        <v>48371104</v>
      </c>
      <c r="D116">
        <v>37802515</v>
      </c>
      <c r="E116">
        <v>1</v>
      </c>
      <c r="F116">
        <v>1</v>
      </c>
      <c r="G116">
        <v>1</v>
      </c>
      <c r="H116">
        <v>2</v>
      </c>
      <c r="I116" t="s">
        <v>650</v>
      </c>
      <c r="J116" t="s">
        <v>651</v>
      </c>
      <c r="K116" t="s">
        <v>652</v>
      </c>
      <c r="L116">
        <v>1368</v>
      </c>
      <c r="N116">
        <v>1011</v>
      </c>
      <c r="O116" t="s">
        <v>516</v>
      </c>
      <c r="P116" t="s">
        <v>516</v>
      </c>
      <c r="Q116">
        <v>1</v>
      </c>
      <c r="X116">
        <v>0.08</v>
      </c>
      <c r="Y116">
        <v>0</v>
      </c>
      <c r="Z116">
        <v>87.24</v>
      </c>
      <c r="AA116">
        <v>9</v>
      </c>
      <c r="AB116">
        <v>0</v>
      </c>
      <c r="AC116">
        <v>0</v>
      </c>
      <c r="AD116">
        <v>1</v>
      </c>
      <c r="AE116">
        <v>0</v>
      </c>
      <c r="AF116" t="s">
        <v>160</v>
      </c>
      <c r="AG116">
        <v>0.1</v>
      </c>
      <c r="AH116">
        <v>2</v>
      </c>
      <c r="AI116">
        <v>48371107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>
      <c r="A117">
        <f>ROW(Source!A81)</f>
        <v>81</v>
      </c>
      <c r="B117">
        <v>48371108</v>
      </c>
      <c r="C117">
        <v>48371104</v>
      </c>
      <c r="D117">
        <v>37802578</v>
      </c>
      <c r="E117">
        <v>1</v>
      </c>
      <c r="F117">
        <v>1</v>
      </c>
      <c r="G117">
        <v>1</v>
      </c>
      <c r="H117">
        <v>2</v>
      </c>
      <c r="I117" t="s">
        <v>550</v>
      </c>
      <c r="J117" t="s">
        <v>551</v>
      </c>
      <c r="K117" t="s">
        <v>552</v>
      </c>
      <c r="L117">
        <v>1368</v>
      </c>
      <c r="N117">
        <v>1011</v>
      </c>
      <c r="O117" t="s">
        <v>516</v>
      </c>
      <c r="P117" t="s">
        <v>516</v>
      </c>
      <c r="Q117">
        <v>1</v>
      </c>
      <c r="X117">
        <v>0.27</v>
      </c>
      <c r="Y117">
        <v>0</v>
      </c>
      <c r="Z117">
        <v>32.090000000000003</v>
      </c>
      <c r="AA117">
        <v>12.1</v>
      </c>
      <c r="AB117">
        <v>0</v>
      </c>
      <c r="AC117">
        <v>0</v>
      </c>
      <c r="AD117">
        <v>1</v>
      </c>
      <c r="AE117">
        <v>0</v>
      </c>
      <c r="AF117" t="s">
        <v>160</v>
      </c>
      <c r="AG117">
        <v>0.33750000000000002</v>
      </c>
      <c r="AH117">
        <v>2</v>
      </c>
      <c r="AI117">
        <v>48371108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>
      <c r="A118">
        <f>ROW(Source!A81)</f>
        <v>81</v>
      </c>
      <c r="B118">
        <v>48371109</v>
      </c>
      <c r="C118">
        <v>48371104</v>
      </c>
      <c r="D118">
        <v>37802992</v>
      </c>
      <c r="E118">
        <v>1</v>
      </c>
      <c r="F118">
        <v>1</v>
      </c>
      <c r="G118">
        <v>1</v>
      </c>
      <c r="H118">
        <v>2</v>
      </c>
      <c r="I118" t="s">
        <v>653</v>
      </c>
      <c r="J118" t="s">
        <v>654</v>
      </c>
      <c r="K118" t="s">
        <v>655</v>
      </c>
      <c r="L118">
        <v>1368</v>
      </c>
      <c r="N118">
        <v>1011</v>
      </c>
      <c r="O118" t="s">
        <v>516</v>
      </c>
      <c r="P118" t="s">
        <v>516</v>
      </c>
      <c r="Q118">
        <v>1</v>
      </c>
      <c r="X118">
        <v>1.3</v>
      </c>
      <c r="Y118">
        <v>0</v>
      </c>
      <c r="Z118">
        <v>11.32</v>
      </c>
      <c r="AA118">
        <v>9</v>
      </c>
      <c r="AB118">
        <v>0</v>
      </c>
      <c r="AC118">
        <v>0</v>
      </c>
      <c r="AD118">
        <v>1</v>
      </c>
      <c r="AE118">
        <v>0</v>
      </c>
      <c r="AF118" t="s">
        <v>160</v>
      </c>
      <c r="AG118">
        <v>1.625</v>
      </c>
      <c r="AH118">
        <v>2</v>
      </c>
      <c r="AI118">
        <v>48371109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>
      <c r="A119">
        <f>ROW(Source!A81)</f>
        <v>81</v>
      </c>
      <c r="B119">
        <v>48371110</v>
      </c>
      <c r="C119">
        <v>48371104</v>
      </c>
      <c r="D119">
        <v>37732053</v>
      </c>
      <c r="E119">
        <v>1</v>
      </c>
      <c r="F119">
        <v>1</v>
      </c>
      <c r="G119">
        <v>1</v>
      </c>
      <c r="H119">
        <v>3</v>
      </c>
      <c r="I119" t="s">
        <v>187</v>
      </c>
      <c r="J119" t="s">
        <v>190</v>
      </c>
      <c r="K119" t="s">
        <v>188</v>
      </c>
      <c r="L119">
        <v>1327</v>
      </c>
      <c r="N119">
        <v>1005</v>
      </c>
      <c r="O119" t="s">
        <v>189</v>
      </c>
      <c r="P119" t="s">
        <v>189</v>
      </c>
      <c r="Q119">
        <v>1</v>
      </c>
      <c r="X119">
        <v>100</v>
      </c>
      <c r="Y119">
        <v>68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100</v>
      </c>
      <c r="AH119">
        <v>2</v>
      </c>
      <c r="AI119">
        <v>48371110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>
      <c r="A120">
        <f>ROW(Source!A81)</f>
        <v>81</v>
      </c>
      <c r="B120">
        <v>48371111</v>
      </c>
      <c r="C120">
        <v>48371104</v>
      </c>
      <c r="D120">
        <v>37729991</v>
      </c>
      <c r="E120">
        <v>1</v>
      </c>
      <c r="F120">
        <v>1</v>
      </c>
      <c r="G120">
        <v>1</v>
      </c>
      <c r="H120">
        <v>3</v>
      </c>
      <c r="I120" t="s">
        <v>625</v>
      </c>
      <c r="J120" t="s">
        <v>626</v>
      </c>
      <c r="K120" t="s">
        <v>627</v>
      </c>
      <c r="L120">
        <v>1346</v>
      </c>
      <c r="N120">
        <v>1009</v>
      </c>
      <c r="O120" t="s">
        <v>172</v>
      </c>
      <c r="P120" t="s">
        <v>172</v>
      </c>
      <c r="Q120">
        <v>1</v>
      </c>
      <c r="X120">
        <v>0.5</v>
      </c>
      <c r="Y120">
        <v>1.82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0.5</v>
      </c>
      <c r="AH120">
        <v>2</v>
      </c>
      <c r="AI120">
        <v>48371111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>
      <c r="A121">
        <f>ROW(Source!A81)</f>
        <v>81</v>
      </c>
      <c r="B121">
        <v>48371112</v>
      </c>
      <c r="C121">
        <v>48371104</v>
      </c>
      <c r="D121">
        <v>37731581</v>
      </c>
      <c r="E121">
        <v>1</v>
      </c>
      <c r="F121">
        <v>1</v>
      </c>
      <c r="G121">
        <v>1</v>
      </c>
      <c r="H121">
        <v>3</v>
      </c>
      <c r="I121" t="s">
        <v>656</v>
      </c>
      <c r="J121" t="s">
        <v>657</v>
      </c>
      <c r="K121" t="s">
        <v>658</v>
      </c>
      <c r="L121">
        <v>1348</v>
      </c>
      <c r="N121">
        <v>1009</v>
      </c>
      <c r="O121" t="s">
        <v>536</v>
      </c>
      <c r="P121" t="s">
        <v>536</v>
      </c>
      <c r="Q121">
        <v>1000</v>
      </c>
      <c r="X121">
        <v>0.375</v>
      </c>
      <c r="Y121">
        <v>4929.5600000000004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0.375</v>
      </c>
      <c r="AH121">
        <v>2</v>
      </c>
      <c r="AI121">
        <v>48371112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>
      <c r="A122">
        <f>ROW(Source!A81)</f>
        <v>81</v>
      </c>
      <c r="B122">
        <v>48371113</v>
      </c>
      <c r="C122">
        <v>48371104</v>
      </c>
      <c r="D122">
        <v>37768198</v>
      </c>
      <c r="E122">
        <v>1</v>
      </c>
      <c r="F122">
        <v>1</v>
      </c>
      <c r="G122">
        <v>1</v>
      </c>
      <c r="H122">
        <v>3</v>
      </c>
      <c r="I122" t="s">
        <v>659</v>
      </c>
      <c r="J122" t="s">
        <v>660</v>
      </c>
      <c r="K122" t="s">
        <v>661</v>
      </c>
      <c r="L122">
        <v>1348</v>
      </c>
      <c r="N122">
        <v>1009</v>
      </c>
      <c r="O122" t="s">
        <v>536</v>
      </c>
      <c r="P122" t="s">
        <v>536</v>
      </c>
      <c r="Q122">
        <v>1000</v>
      </c>
      <c r="X122">
        <v>0.05</v>
      </c>
      <c r="Y122">
        <v>9135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0.05</v>
      </c>
      <c r="AH122">
        <v>2</v>
      </c>
      <c r="AI122">
        <v>48371113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>
      <c r="A123">
        <f>ROW(Source!A81)</f>
        <v>81</v>
      </c>
      <c r="B123">
        <v>48371114</v>
      </c>
      <c r="C123">
        <v>48371104</v>
      </c>
      <c r="D123">
        <v>37777802</v>
      </c>
      <c r="E123">
        <v>1</v>
      </c>
      <c r="F123">
        <v>1</v>
      </c>
      <c r="G123">
        <v>1</v>
      </c>
      <c r="H123">
        <v>3</v>
      </c>
      <c r="I123" t="s">
        <v>616</v>
      </c>
      <c r="J123" t="s">
        <v>617</v>
      </c>
      <c r="K123" t="s">
        <v>618</v>
      </c>
      <c r="L123">
        <v>1339</v>
      </c>
      <c r="N123">
        <v>1007</v>
      </c>
      <c r="O123" t="s">
        <v>543</v>
      </c>
      <c r="P123" t="s">
        <v>543</v>
      </c>
      <c r="Q123">
        <v>1</v>
      </c>
      <c r="X123">
        <v>0.93</v>
      </c>
      <c r="Y123">
        <v>2.4700000000000002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0.93</v>
      </c>
      <c r="AH123">
        <v>2</v>
      </c>
      <c r="AI123">
        <v>48371114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>
      <c r="A124">
        <f>ROW(Source!A84)</f>
        <v>84</v>
      </c>
      <c r="B124">
        <v>48371121</v>
      </c>
      <c r="C124">
        <v>48371120</v>
      </c>
      <c r="D124">
        <v>23134955</v>
      </c>
      <c r="E124">
        <v>1</v>
      </c>
      <c r="F124">
        <v>1</v>
      </c>
      <c r="G124">
        <v>1</v>
      </c>
      <c r="H124">
        <v>1</v>
      </c>
      <c r="I124" t="s">
        <v>662</v>
      </c>
      <c r="J124" t="s">
        <v>3</v>
      </c>
      <c r="K124" t="s">
        <v>663</v>
      </c>
      <c r="L124">
        <v>1369</v>
      </c>
      <c r="N124">
        <v>1013</v>
      </c>
      <c r="O124" t="s">
        <v>510</v>
      </c>
      <c r="P124" t="s">
        <v>510</v>
      </c>
      <c r="Q124">
        <v>1</v>
      </c>
      <c r="X124">
        <v>310.42</v>
      </c>
      <c r="Y124">
        <v>0</v>
      </c>
      <c r="Z124">
        <v>0</v>
      </c>
      <c r="AA124">
        <v>0</v>
      </c>
      <c r="AB124">
        <v>8.17</v>
      </c>
      <c r="AC124">
        <v>0</v>
      </c>
      <c r="AD124">
        <v>1</v>
      </c>
      <c r="AE124">
        <v>1</v>
      </c>
      <c r="AF124" t="s">
        <v>161</v>
      </c>
      <c r="AG124">
        <v>356.983</v>
      </c>
      <c r="AH124">
        <v>2</v>
      </c>
      <c r="AI124">
        <v>48371121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>
      <c r="A125">
        <f>ROW(Source!A84)</f>
        <v>84</v>
      </c>
      <c r="B125">
        <v>48371122</v>
      </c>
      <c r="C125">
        <v>48371120</v>
      </c>
      <c r="D125">
        <v>121548</v>
      </c>
      <c r="E125">
        <v>1</v>
      </c>
      <c r="F125">
        <v>1</v>
      </c>
      <c r="G125">
        <v>1</v>
      </c>
      <c r="H125">
        <v>1</v>
      </c>
      <c r="I125" t="s">
        <v>24</v>
      </c>
      <c r="J125" t="s">
        <v>3</v>
      </c>
      <c r="K125" t="s">
        <v>511</v>
      </c>
      <c r="L125">
        <v>608254</v>
      </c>
      <c r="N125">
        <v>1013</v>
      </c>
      <c r="O125" t="s">
        <v>512</v>
      </c>
      <c r="P125" t="s">
        <v>512</v>
      </c>
      <c r="Q125">
        <v>1</v>
      </c>
      <c r="X125">
        <v>1.72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2</v>
      </c>
      <c r="AF125" t="s">
        <v>160</v>
      </c>
      <c r="AG125">
        <v>2.15</v>
      </c>
      <c r="AH125">
        <v>2</v>
      </c>
      <c r="AI125">
        <v>48371122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>
      <c r="A126">
        <f>ROW(Source!A84)</f>
        <v>84</v>
      </c>
      <c r="B126">
        <v>48371123</v>
      </c>
      <c r="C126">
        <v>48371120</v>
      </c>
      <c r="D126">
        <v>37802358</v>
      </c>
      <c r="E126">
        <v>1</v>
      </c>
      <c r="F126">
        <v>1</v>
      </c>
      <c r="G126">
        <v>1</v>
      </c>
      <c r="H126">
        <v>2</v>
      </c>
      <c r="I126" t="s">
        <v>664</v>
      </c>
      <c r="J126" t="s">
        <v>665</v>
      </c>
      <c r="K126" t="s">
        <v>666</v>
      </c>
      <c r="L126">
        <v>1368</v>
      </c>
      <c r="N126">
        <v>1011</v>
      </c>
      <c r="O126" t="s">
        <v>516</v>
      </c>
      <c r="P126" t="s">
        <v>516</v>
      </c>
      <c r="Q126">
        <v>1</v>
      </c>
      <c r="X126">
        <v>0.02</v>
      </c>
      <c r="Y126">
        <v>0</v>
      </c>
      <c r="Z126">
        <v>100.33</v>
      </c>
      <c r="AA126">
        <v>12.1</v>
      </c>
      <c r="AB126">
        <v>0</v>
      </c>
      <c r="AC126">
        <v>0</v>
      </c>
      <c r="AD126">
        <v>1</v>
      </c>
      <c r="AE126">
        <v>0</v>
      </c>
      <c r="AF126" t="s">
        <v>160</v>
      </c>
      <c r="AG126">
        <v>2.5000000000000001E-2</v>
      </c>
      <c r="AH126">
        <v>2</v>
      </c>
      <c r="AI126">
        <v>48371123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>
      <c r="A127">
        <f>ROW(Source!A84)</f>
        <v>84</v>
      </c>
      <c r="B127">
        <v>48371124</v>
      </c>
      <c r="C127">
        <v>48371120</v>
      </c>
      <c r="D127">
        <v>37802442</v>
      </c>
      <c r="E127">
        <v>1</v>
      </c>
      <c r="F127">
        <v>1</v>
      </c>
      <c r="G127">
        <v>1</v>
      </c>
      <c r="H127">
        <v>2</v>
      </c>
      <c r="I127" t="s">
        <v>667</v>
      </c>
      <c r="J127" t="s">
        <v>668</v>
      </c>
      <c r="K127" t="s">
        <v>669</v>
      </c>
      <c r="L127">
        <v>1368</v>
      </c>
      <c r="N127">
        <v>1011</v>
      </c>
      <c r="O127" t="s">
        <v>516</v>
      </c>
      <c r="P127" t="s">
        <v>516</v>
      </c>
      <c r="Q127">
        <v>1</v>
      </c>
      <c r="X127">
        <v>0.01</v>
      </c>
      <c r="Y127">
        <v>0</v>
      </c>
      <c r="Z127">
        <v>104.01</v>
      </c>
      <c r="AA127">
        <v>10.35</v>
      </c>
      <c r="AB127">
        <v>0</v>
      </c>
      <c r="AC127">
        <v>0</v>
      </c>
      <c r="AD127">
        <v>1</v>
      </c>
      <c r="AE127">
        <v>0</v>
      </c>
      <c r="AF127" t="s">
        <v>160</v>
      </c>
      <c r="AG127">
        <v>1.2500000000000001E-2</v>
      </c>
      <c r="AH127">
        <v>2</v>
      </c>
      <c r="AI127">
        <v>48371124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>
      <c r="A128">
        <f>ROW(Source!A84)</f>
        <v>84</v>
      </c>
      <c r="B128">
        <v>48371125</v>
      </c>
      <c r="C128">
        <v>48371120</v>
      </c>
      <c r="D128">
        <v>37802992</v>
      </c>
      <c r="E128">
        <v>1</v>
      </c>
      <c r="F128">
        <v>1</v>
      </c>
      <c r="G128">
        <v>1</v>
      </c>
      <c r="H128">
        <v>2</v>
      </c>
      <c r="I128" t="s">
        <v>653</v>
      </c>
      <c r="J128" t="s">
        <v>654</v>
      </c>
      <c r="K128" t="s">
        <v>655</v>
      </c>
      <c r="L128">
        <v>1368</v>
      </c>
      <c r="N128">
        <v>1011</v>
      </c>
      <c r="O128" t="s">
        <v>516</v>
      </c>
      <c r="P128" t="s">
        <v>516</v>
      </c>
      <c r="Q128">
        <v>1</v>
      </c>
      <c r="X128">
        <v>1.69</v>
      </c>
      <c r="Y128">
        <v>0</v>
      </c>
      <c r="Z128">
        <v>11.32</v>
      </c>
      <c r="AA128">
        <v>9</v>
      </c>
      <c r="AB128">
        <v>0</v>
      </c>
      <c r="AC128">
        <v>0</v>
      </c>
      <c r="AD128">
        <v>1</v>
      </c>
      <c r="AE128">
        <v>0</v>
      </c>
      <c r="AF128" t="s">
        <v>160</v>
      </c>
      <c r="AG128">
        <v>2.1124999999999998</v>
      </c>
      <c r="AH128">
        <v>2</v>
      </c>
      <c r="AI128">
        <v>48371125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>
      <c r="A129">
        <f>ROW(Source!A84)</f>
        <v>84</v>
      </c>
      <c r="B129">
        <v>48371126</v>
      </c>
      <c r="C129">
        <v>48371120</v>
      </c>
      <c r="D129">
        <v>37804194</v>
      </c>
      <c r="E129">
        <v>1</v>
      </c>
      <c r="F129">
        <v>1</v>
      </c>
      <c r="G129">
        <v>1</v>
      </c>
      <c r="H129">
        <v>2</v>
      </c>
      <c r="I129" t="s">
        <v>670</v>
      </c>
      <c r="J129" t="s">
        <v>671</v>
      </c>
      <c r="K129" t="s">
        <v>672</v>
      </c>
      <c r="L129">
        <v>1368</v>
      </c>
      <c r="N129">
        <v>1011</v>
      </c>
      <c r="O129" t="s">
        <v>516</v>
      </c>
      <c r="P129" t="s">
        <v>516</v>
      </c>
      <c r="Q129">
        <v>1</v>
      </c>
      <c r="X129">
        <v>0.05</v>
      </c>
      <c r="Y129">
        <v>0</v>
      </c>
      <c r="Z129">
        <v>11.02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160</v>
      </c>
      <c r="AG129">
        <v>6.25E-2</v>
      </c>
      <c r="AH129">
        <v>2</v>
      </c>
      <c r="AI129">
        <v>48371126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>
      <c r="A130">
        <f>ROW(Source!A84)</f>
        <v>84</v>
      </c>
      <c r="B130">
        <v>48371127</v>
      </c>
      <c r="C130">
        <v>48371120</v>
      </c>
      <c r="D130">
        <v>37804456</v>
      </c>
      <c r="E130">
        <v>1</v>
      </c>
      <c r="F130">
        <v>1</v>
      </c>
      <c r="G130">
        <v>1</v>
      </c>
      <c r="H130">
        <v>2</v>
      </c>
      <c r="I130" t="s">
        <v>530</v>
      </c>
      <c r="J130" t="s">
        <v>531</v>
      </c>
      <c r="K130" t="s">
        <v>532</v>
      </c>
      <c r="L130">
        <v>1368</v>
      </c>
      <c r="N130">
        <v>1011</v>
      </c>
      <c r="O130" t="s">
        <v>516</v>
      </c>
      <c r="P130" t="s">
        <v>516</v>
      </c>
      <c r="Q130">
        <v>1</v>
      </c>
      <c r="X130">
        <v>0.01</v>
      </c>
      <c r="Y130">
        <v>0</v>
      </c>
      <c r="Z130">
        <v>91.76</v>
      </c>
      <c r="AA130">
        <v>10.35</v>
      </c>
      <c r="AB130">
        <v>0</v>
      </c>
      <c r="AC130">
        <v>0</v>
      </c>
      <c r="AD130">
        <v>1</v>
      </c>
      <c r="AE130">
        <v>0</v>
      </c>
      <c r="AF130" t="s">
        <v>160</v>
      </c>
      <c r="AG130">
        <v>1.2500000000000001E-2</v>
      </c>
      <c r="AH130">
        <v>2</v>
      </c>
      <c r="AI130">
        <v>48371127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>
      <c r="A131">
        <f>ROW(Source!A84)</f>
        <v>84</v>
      </c>
      <c r="B131">
        <v>48371128</v>
      </c>
      <c r="C131">
        <v>48371120</v>
      </c>
      <c r="D131">
        <v>37730034</v>
      </c>
      <c r="E131">
        <v>1</v>
      </c>
      <c r="F131">
        <v>1</v>
      </c>
      <c r="G131">
        <v>1</v>
      </c>
      <c r="H131">
        <v>3</v>
      </c>
      <c r="I131" t="s">
        <v>673</v>
      </c>
      <c r="J131" t="s">
        <v>674</v>
      </c>
      <c r="K131" t="s">
        <v>675</v>
      </c>
      <c r="L131">
        <v>1348</v>
      </c>
      <c r="N131">
        <v>1009</v>
      </c>
      <c r="O131" t="s">
        <v>536</v>
      </c>
      <c r="P131" t="s">
        <v>536</v>
      </c>
      <c r="Q131">
        <v>1000</v>
      </c>
      <c r="X131">
        <v>1.2999999999999999E-2</v>
      </c>
      <c r="Y131">
        <v>6610.69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1.2999999999999999E-2</v>
      </c>
      <c r="AH131">
        <v>2</v>
      </c>
      <c r="AI131">
        <v>48371128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>
      <c r="A132">
        <f>ROW(Source!A84)</f>
        <v>84</v>
      </c>
      <c r="B132">
        <v>48371129</v>
      </c>
      <c r="C132">
        <v>48371120</v>
      </c>
      <c r="D132">
        <v>37731608</v>
      </c>
      <c r="E132">
        <v>1</v>
      </c>
      <c r="F132">
        <v>1</v>
      </c>
      <c r="G132">
        <v>1</v>
      </c>
      <c r="H132">
        <v>3</v>
      </c>
      <c r="I132" t="s">
        <v>676</v>
      </c>
      <c r="J132" t="s">
        <v>677</v>
      </c>
      <c r="K132" t="s">
        <v>678</v>
      </c>
      <c r="L132">
        <v>1346</v>
      </c>
      <c r="N132">
        <v>1009</v>
      </c>
      <c r="O132" t="s">
        <v>172</v>
      </c>
      <c r="P132" t="s">
        <v>172</v>
      </c>
      <c r="Q132">
        <v>1</v>
      </c>
      <c r="X132">
        <v>1200</v>
      </c>
      <c r="Y132">
        <v>3.74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1200</v>
      </c>
      <c r="AH132">
        <v>2</v>
      </c>
      <c r="AI132">
        <v>48371129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>
      <c r="A133">
        <f>ROW(Source!A84)</f>
        <v>84</v>
      </c>
      <c r="B133">
        <v>48371130</v>
      </c>
      <c r="C133">
        <v>48371120</v>
      </c>
      <c r="D133">
        <v>37731963</v>
      </c>
      <c r="E133">
        <v>1</v>
      </c>
      <c r="F133">
        <v>1</v>
      </c>
      <c r="G133">
        <v>1</v>
      </c>
      <c r="H133">
        <v>3</v>
      </c>
      <c r="I133" t="s">
        <v>679</v>
      </c>
      <c r="J133" t="s">
        <v>680</v>
      </c>
      <c r="K133" t="s">
        <v>681</v>
      </c>
      <c r="L133">
        <v>1327</v>
      </c>
      <c r="N133">
        <v>1005</v>
      </c>
      <c r="O133" t="s">
        <v>189</v>
      </c>
      <c r="P133" t="s">
        <v>189</v>
      </c>
      <c r="Q133">
        <v>1</v>
      </c>
      <c r="X133">
        <v>102</v>
      </c>
      <c r="Y133">
        <v>142.57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102</v>
      </c>
      <c r="AH133">
        <v>2</v>
      </c>
      <c r="AI133">
        <v>48371130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>
      <c r="A134">
        <f>ROW(Source!A84)</f>
        <v>84</v>
      </c>
      <c r="B134">
        <v>48371131</v>
      </c>
      <c r="C134">
        <v>48371120</v>
      </c>
      <c r="D134">
        <v>37731442</v>
      </c>
      <c r="E134">
        <v>1</v>
      </c>
      <c r="F134">
        <v>1</v>
      </c>
      <c r="G134">
        <v>1</v>
      </c>
      <c r="H134">
        <v>3</v>
      </c>
      <c r="I134" t="s">
        <v>628</v>
      </c>
      <c r="J134" t="s">
        <v>629</v>
      </c>
      <c r="K134" t="s">
        <v>630</v>
      </c>
      <c r="L134">
        <v>1348</v>
      </c>
      <c r="N134">
        <v>1009</v>
      </c>
      <c r="O134" t="s">
        <v>536</v>
      </c>
      <c r="P134" t="s">
        <v>536</v>
      </c>
      <c r="Q134">
        <v>1000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1</v>
      </c>
      <c r="AD134">
        <v>0</v>
      </c>
      <c r="AE134">
        <v>0</v>
      </c>
      <c r="AF134" t="s">
        <v>3</v>
      </c>
      <c r="AG134">
        <v>0</v>
      </c>
      <c r="AH134">
        <v>2</v>
      </c>
      <c r="AI134">
        <v>48371131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>
      <c r="A135">
        <f>ROW(Source!A84)</f>
        <v>84</v>
      </c>
      <c r="B135">
        <v>48371132</v>
      </c>
      <c r="C135">
        <v>48371120</v>
      </c>
      <c r="D135">
        <v>37753185</v>
      </c>
      <c r="E135">
        <v>1</v>
      </c>
      <c r="F135">
        <v>1</v>
      </c>
      <c r="G135">
        <v>1</v>
      </c>
      <c r="H135">
        <v>3</v>
      </c>
      <c r="I135" t="s">
        <v>682</v>
      </c>
      <c r="J135" t="s">
        <v>683</v>
      </c>
      <c r="K135" t="s">
        <v>684</v>
      </c>
      <c r="L135">
        <v>1339</v>
      </c>
      <c r="N135">
        <v>1007</v>
      </c>
      <c r="O135" t="s">
        <v>543</v>
      </c>
      <c r="P135" t="s">
        <v>543</v>
      </c>
      <c r="Q135">
        <v>1</v>
      </c>
      <c r="X135">
        <v>0.01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 t="s">
        <v>3</v>
      </c>
      <c r="AG135">
        <v>0.01</v>
      </c>
      <c r="AH135">
        <v>2</v>
      </c>
      <c r="AI135">
        <v>48371132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>
      <c r="A136">
        <f>ROW(Source!A84)</f>
        <v>84</v>
      </c>
      <c r="B136">
        <v>48371133</v>
      </c>
      <c r="C136">
        <v>48371120</v>
      </c>
      <c r="D136">
        <v>37777802</v>
      </c>
      <c r="E136">
        <v>1</v>
      </c>
      <c r="F136">
        <v>1</v>
      </c>
      <c r="G136">
        <v>1</v>
      </c>
      <c r="H136">
        <v>3</v>
      </c>
      <c r="I136" t="s">
        <v>616</v>
      </c>
      <c r="J136" t="s">
        <v>617</v>
      </c>
      <c r="K136" t="s">
        <v>618</v>
      </c>
      <c r="L136">
        <v>1339</v>
      </c>
      <c r="N136">
        <v>1007</v>
      </c>
      <c r="O136" t="s">
        <v>543</v>
      </c>
      <c r="P136" t="s">
        <v>543</v>
      </c>
      <c r="Q136">
        <v>1</v>
      </c>
      <c r="X136">
        <v>0.44</v>
      </c>
      <c r="Y136">
        <v>2.4700000000000002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0.44</v>
      </c>
      <c r="AH136">
        <v>2</v>
      </c>
      <c r="AI136">
        <v>48371133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>
      <c r="A137">
        <f>ROW(Source!A86)</f>
        <v>86</v>
      </c>
      <c r="B137">
        <v>48371138</v>
      </c>
      <c r="C137">
        <v>48371137</v>
      </c>
      <c r="D137">
        <v>23129438</v>
      </c>
      <c r="E137">
        <v>1</v>
      </c>
      <c r="F137">
        <v>1</v>
      </c>
      <c r="G137">
        <v>1</v>
      </c>
      <c r="H137">
        <v>1</v>
      </c>
      <c r="I137" t="s">
        <v>685</v>
      </c>
      <c r="J137" t="s">
        <v>3</v>
      </c>
      <c r="K137" t="s">
        <v>686</v>
      </c>
      <c r="L137">
        <v>1369</v>
      </c>
      <c r="N137">
        <v>1013</v>
      </c>
      <c r="O137" t="s">
        <v>510</v>
      </c>
      <c r="P137" t="s">
        <v>510</v>
      </c>
      <c r="Q137">
        <v>1</v>
      </c>
      <c r="X137">
        <v>108.36</v>
      </c>
      <c r="Y137">
        <v>0</v>
      </c>
      <c r="Z137">
        <v>0</v>
      </c>
      <c r="AA137">
        <v>0</v>
      </c>
      <c r="AB137">
        <v>8.7899999999999991</v>
      </c>
      <c r="AC137">
        <v>0</v>
      </c>
      <c r="AD137">
        <v>1</v>
      </c>
      <c r="AE137">
        <v>1</v>
      </c>
      <c r="AF137" t="s">
        <v>161</v>
      </c>
      <c r="AG137">
        <v>124.61399999999999</v>
      </c>
      <c r="AH137">
        <v>2</v>
      </c>
      <c r="AI137">
        <v>48371138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>
      <c r="A138">
        <f>ROW(Source!A86)</f>
        <v>86</v>
      </c>
      <c r="B138">
        <v>48371139</v>
      </c>
      <c r="C138">
        <v>48371137</v>
      </c>
      <c r="D138">
        <v>121548</v>
      </c>
      <c r="E138">
        <v>1</v>
      </c>
      <c r="F138">
        <v>1</v>
      </c>
      <c r="G138">
        <v>1</v>
      </c>
      <c r="H138">
        <v>1</v>
      </c>
      <c r="I138" t="s">
        <v>24</v>
      </c>
      <c r="J138" t="s">
        <v>3</v>
      </c>
      <c r="K138" t="s">
        <v>511</v>
      </c>
      <c r="L138">
        <v>608254</v>
      </c>
      <c r="N138">
        <v>1013</v>
      </c>
      <c r="O138" t="s">
        <v>512</v>
      </c>
      <c r="P138" t="s">
        <v>512</v>
      </c>
      <c r="Q138">
        <v>1</v>
      </c>
      <c r="X138">
        <v>0.25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2</v>
      </c>
      <c r="AF138" t="s">
        <v>160</v>
      </c>
      <c r="AG138">
        <v>0.3125</v>
      </c>
      <c r="AH138">
        <v>2</v>
      </c>
      <c r="AI138">
        <v>48371139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>
      <c r="A139">
        <f>ROW(Source!A86)</f>
        <v>86</v>
      </c>
      <c r="B139">
        <v>48371140</v>
      </c>
      <c r="C139">
        <v>48371137</v>
      </c>
      <c r="D139">
        <v>37802443</v>
      </c>
      <c r="E139">
        <v>1</v>
      </c>
      <c r="F139">
        <v>1</v>
      </c>
      <c r="G139">
        <v>1</v>
      </c>
      <c r="H139">
        <v>2</v>
      </c>
      <c r="I139" t="s">
        <v>586</v>
      </c>
      <c r="J139" t="s">
        <v>587</v>
      </c>
      <c r="K139" t="s">
        <v>588</v>
      </c>
      <c r="L139">
        <v>1368</v>
      </c>
      <c r="N139">
        <v>1011</v>
      </c>
      <c r="O139" t="s">
        <v>516</v>
      </c>
      <c r="P139" t="s">
        <v>516</v>
      </c>
      <c r="Q139">
        <v>1</v>
      </c>
      <c r="X139">
        <v>0.25</v>
      </c>
      <c r="Y139">
        <v>0</v>
      </c>
      <c r="Z139">
        <v>124.14</v>
      </c>
      <c r="AA139">
        <v>12.1</v>
      </c>
      <c r="AB139">
        <v>0</v>
      </c>
      <c r="AC139">
        <v>0</v>
      </c>
      <c r="AD139">
        <v>1</v>
      </c>
      <c r="AE139">
        <v>0</v>
      </c>
      <c r="AF139" t="s">
        <v>160</v>
      </c>
      <c r="AG139">
        <v>0.3125</v>
      </c>
      <c r="AH139">
        <v>2</v>
      </c>
      <c r="AI139">
        <v>48371140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>
      <c r="A140">
        <f>ROW(Source!A86)</f>
        <v>86</v>
      </c>
      <c r="B140">
        <v>48371141</v>
      </c>
      <c r="C140">
        <v>48371137</v>
      </c>
      <c r="D140">
        <v>37802544</v>
      </c>
      <c r="E140">
        <v>1</v>
      </c>
      <c r="F140">
        <v>1</v>
      </c>
      <c r="G140">
        <v>1</v>
      </c>
      <c r="H140">
        <v>2</v>
      </c>
      <c r="I140" t="s">
        <v>687</v>
      </c>
      <c r="J140" t="s">
        <v>688</v>
      </c>
      <c r="K140" t="s">
        <v>689</v>
      </c>
      <c r="L140">
        <v>1368</v>
      </c>
      <c r="N140">
        <v>1011</v>
      </c>
      <c r="O140" t="s">
        <v>516</v>
      </c>
      <c r="P140" t="s">
        <v>516</v>
      </c>
      <c r="Q140">
        <v>1</v>
      </c>
      <c r="X140">
        <v>16.2</v>
      </c>
      <c r="Y140">
        <v>0</v>
      </c>
      <c r="Z140">
        <v>7.11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160</v>
      </c>
      <c r="AG140">
        <v>20.25</v>
      </c>
      <c r="AH140">
        <v>2</v>
      </c>
      <c r="AI140">
        <v>48371141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>
      <c r="A141">
        <f>ROW(Source!A86)</f>
        <v>86</v>
      </c>
      <c r="B141">
        <v>48371142</v>
      </c>
      <c r="C141">
        <v>48371137</v>
      </c>
      <c r="D141">
        <v>37804065</v>
      </c>
      <c r="E141">
        <v>1</v>
      </c>
      <c r="F141">
        <v>1</v>
      </c>
      <c r="G141">
        <v>1</v>
      </c>
      <c r="H141">
        <v>2</v>
      </c>
      <c r="I141" t="s">
        <v>690</v>
      </c>
      <c r="J141" t="s">
        <v>691</v>
      </c>
      <c r="K141" t="s">
        <v>692</v>
      </c>
      <c r="L141">
        <v>1368</v>
      </c>
      <c r="N141">
        <v>1011</v>
      </c>
      <c r="O141" t="s">
        <v>516</v>
      </c>
      <c r="P141" t="s">
        <v>516</v>
      </c>
      <c r="Q141">
        <v>1</v>
      </c>
      <c r="X141">
        <v>3.54</v>
      </c>
      <c r="Y141">
        <v>0</v>
      </c>
      <c r="Z141">
        <v>2.15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160</v>
      </c>
      <c r="AG141">
        <v>4.4249999999999998</v>
      </c>
      <c r="AH141">
        <v>2</v>
      </c>
      <c r="AI141">
        <v>48371142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>
      <c r="A142">
        <f>ROW(Source!A86)</f>
        <v>86</v>
      </c>
      <c r="B142">
        <v>48371143</v>
      </c>
      <c r="C142">
        <v>48371137</v>
      </c>
      <c r="D142">
        <v>37804456</v>
      </c>
      <c r="E142">
        <v>1</v>
      </c>
      <c r="F142">
        <v>1</v>
      </c>
      <c r="G142">
        <v>1</v>
      </c>
      <c r="H142">
        <v>2</v>
      </c>
      <c r="I142" t="s">
        <v>530</v>
      </c>
      <c r="J142" t="s">
        <v>531</v>
      </c>
      <c r="K142" t="s">
        <v>532</v>
      </c>
      <c r="L142">
        <v>1368</v>
      </c>
      <c r="N142">
        <v>1011</v>
      </c>
      <c r="O142" t="s">
        <v>516</v>
      </c>
      <c r="P142" t="s">
        <v>516</v>
      </c>
      <c r="Q142">
        <v>1</v>
      </c>
      <c r="X142">
        <v>0.14000000000000001</v>
      </c>
      <c r="Y142">
        <v>0</v>
      </c>
      <c r="Z142">
        <v>91.76</v>
      </c>
      <c r="AA142">
        <v>10.35</v>
      </c>
      <c r="AB142">
        <v>0</v>
      </c>
      <c r="AC142">
        <v>0</v>
      </c>
      <c r="AD142">
        <v>1</v>
      </c>
      <c r="AE142">
        <v>0</v>
      </c>
      <c r="AF142" t="s">
        <v>160</v>
      </c>
      <c r="AG142">
        <v>0.17500000000000002</v>
      </c>
      <c r="AH142">
        <v>2</v>
      </c>
      <c r="AI142">
        <v>48371143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>
      <c r="A143">
        <f>ROW(Source!A86)</f>
        <v>86</v>
      </c>
      <c r="B143">
        <v>48371144</v>
      </c>
      <c r="C143">
        <v>48371137</v>
      </c>
      <c r="D143">
        <v>37754787</v>
      </c>
      <c r="E143">
        <v>1</v>
      </c>
      <c r="F143">
        <v>1</v>
      </c>
      <c r="G143">
        <v>1</v>
      </c>
      <c r="H143">
        <v>3</v>
      </c>
      <c r="I143" t="s">
        <v>693</v>
      </c>
      <c r="J143" t="s">
        <v>694</v>
      </c>
      <c r="K143" t="s">
        <v>695</v>
      </c>
      <c r="L143">
        <v>1301</v>
      </c>
      <c r="N143">
        <v>1003</v>
      </c>
      <c r="O143" t="s">
        <v>208</v>
      </c>
      <c r="P143" t="s">
        <v>208</v>
      </c>
      <c r="Q143">
        <v>1</v>
      </c>
      <c r="X143">
        <v>1050</v>
      </c>
      <c r="Y143">
        <v>25.08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1050</v>
      </c>
      <c r="AH143">
        <v>2</v>
      </c>
      <c r="AI143">
        <v>48371144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>
      <c r="A144">
        <f>ROW(Source!A86)</f>
        <v>86</v>
      </c>
      <c r="B144">
        <v>48371145</v>
      </c>
      <c r="C144">
        <v>48371137</v>
      </c>
      <c r="D144">
        <v>37754789</v>
      </c>
      <c r="E144">
        <v>1</v>
      </c>
      <c r="F144">
        <v>1</v>
      </c>
      <c r="G144">
        <v>1</v>
      </c>
      <c r="H144">
        <v>3</v>
      </c>
      <c r="I144" t="s">
        <v>696</v>
      </c>
      <c r="J144" t="s">
        <v>697</v>
      </c>
      <c r="K144" t="s">
        <v>698</v>
      </c>
      <c r="L144">
        <v>1301</v>
      </c>
      <c r="N144">
        <v>1003</v>
      </c>
      <c r="O144" t="s">
        <v>208</v>
      </c>
      <c r="P144" t="s">
        <v>208</v>
      </c>
      <c r="Q144">
        <v>1</v>
      </c>
      <c r="X144">
        <v>100</v>
      </c>
      <c r="Y144">
        <v>20.78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100</v>
      </c>
      <c r="AH144">
        <v>2</v>
      </c>
      <c r="AI144">
        <v>48371145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>
      <c r="A145">
        <f>ROW(Source!A86)</f>
        <v>86</v>
      </c>
      <c r="B145">
        <v>48371146</v>
      </c>
      <c r="C145">
        <v>48371137</v>
      </c>
      <c r="D145">
        <v>37754790</v>
      </c>
      <c r="E145">
        <v>1</v>
      </c>
      <c r="F145">
        <v>1</v>
      </c>
      <c r="G145">
        <v>1</v>
      </c>
      <c r="H145">
        <v>3</v>
      </c>
      <c r="I145" t="s">
        <v>206</v>
      </c>
      <c r="J145" t="s">
        <v>209</v>
      </c>
      <c r="K145" t="s">
        <v>207</v>
      </c>
      <c r="L145">
        <v>1301</v>
      </c>
      <c r="N145">
        <v>1003</v>
      </c>
      <c r="O145" t="s">
        <v>208</v>
      </c>
      <c r="P145" t="s">
        <v>208</v>
      </c>
      <c r="Q145">
        <v>1</v>
      </c>
      <c r="X145">
        <v>0</v>
      </c>
      <c r="Y145">
        <v>6.38</v>
      </c>
      <c r="Z145">
        <v>0</v>
      </c>
      <c r="AA145">
        <v>0</v>
      </c>
      <c r="AB145">
        <v>0</v>
      </c>
      <c r="AC145">
        <v>1</v>
      </c>
      <c r="AD145">
        <v>0</v>
      </c>
      <c r="AE145">
        <v>0</v>
      </c>
      <c r="AF145" t="s">
        <v>3</v>
      </c>
      <c r="AG145">
        <v>0</v>
      </c>
      <c r="AH145">
        <v>3</v>
      </c>
      <c r="AI145">
        <v>-1</v>
      </c>
      <c r="AJ145" t="s">
        <v>3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>
      <c r="A146">
        <f>ROW(Source!A86)</f>
        <v>86</v>
      </c>
      <c r="B146">
        <v>48371147</v>
      </c>
      <c r="C146">
        <v>48371137</v>
      </c>
      <c r="D146">
        <v>37754791</v>
      </c>
      <c r="E146">
        <v>1</v>
      </c>
      <c r="F146">
        <v>1</v>
      </c>
      <c r="G146">
        <v>1</v>
      </c>
      <c r="H146">
        <v>3</v>
      </c>
      <c r="I146" t="s">
        <v>699</v>
      </c>
      <c r="J146" t="s">
        <v>700</v>
      </c>
      <c r="K146" t="s">
        <v>701</v>
      </c>
      <c r="L146">
        <v>1354</v>
      </c>
      <c r="N146">
        <v>1010</v>
      </c>
      <c r="O146" t="s">
        <v>220</v>
      </c>
      <c r="P146" t="s">
        <v>220</v>
      </c>
      <c r="Q146">
        <v>1</v>
      </c>
      <c r="X146">
        <v>70</v>
      </c>
      <c r="Y146">
        <v>3.71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70</v>
      </c>
      <c r="AH146">
        <v>2</v>
      </c>
      <c r="AI146">
        <v>48371147</v>
      </c>
      <c r="AJ146">
        <v>145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>
      <c r="A147">
        <f>ROW(Source!A88)</f>
        <v>88</v>
      </c>
      <c r="B147">
        <v>48371250</v>
      </c>
      <c r="C147">
        <v>48371249</v>
      </c>
      <c r="D147">
        <v>23355901</v>
      </c>
      <c r="E147">
        <v>1</v>
      </c>
      <c r="F147">
        <v>1</v>
      </c>
      <c r="G147">
        <v>1</v>
      </c>
      <c r="H147">
        <v>1</v>
      </c>
      <c r="I147" t="s">
        <v>702</v>
      </c>
      <c r="J147" t="s">
        <v>3</v>
      </c>
      <c r="K147" t="s">
        <v>703</v>
      </c>
      <c r="L147">
        <v>1369</v>
      </c>
      <c r="N147">
        <v>1013</v>
      </c>
      <c r="O147" t="s">
        <v>510</v>
      </c>
      <c r="P147" t="s">
        <v>510</v>
      </c>
      <c r="Q147">
        <v>1</v>
      </c>
      <c r="X147">
        <v>70.64</v>
      </c>
      <c r="Y147">
        <v>0</v>
      </c>
      <c r="Z147">
        <v>0</v>
      </c>
      <c r="AA147">
        <v>0</v>
      </c>
      <c r="AB147">
        <v>9.27</v>
      </c>
      <c r="AC147">
        <v>0</v>
      </c>
      <c r="AD147">
        <v>1</v>
      </c>
      <c r="AE147">
        <v>1</v>
      </c>
      <c r="AF147" t="s">
        <v>3</v>
      </c>
      <c r="AG147">
        <v>70.64</v>
      </c>
      <c r="AH147">
        <v>2</v>
      </c>
      <c r="AI147">
        <v>48371250</v>
      </c>
      <c r="AJ147">
        <v>146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>
      <c r="A148">
        <f>ROW(Source!A88)</f>
        <v>88</v>
      </c>
      <c r="B148">
        <v>48371251</v>
      </c>
      <c r="C148">
        <v>48371249</v>
      </c>
      <c r="D148">
        <v>121548</v>
      </c>
      <c r="E148">
        <v>1</v>
      </c>
      <c r="F148">
        <v>1</v>
      </c>
      <c r="G148">
        <v>1</v>
      </c>
      <c r="H148">
        <v>1</v>
      </c>
      <c r="I148" t="s">
        <v>24</v>
      </c>
      <c r="J148" t="s">
        <v>3</v>
      </c>
      <c r="K148" t="s">
        <v>511</v>
      </c>
      <c r="L148">
        <v>608254</v>
      </c>
      <c r="N148">
        <v>1013</v>
      </c>
      <c r="O148" t="s">
        <v>512</v>
      </c>
      <c r="P148" t="s">
        <v>512</v>
      </c>
      <c r="Q148">
        <v>1</v>
      </c>
      <c r="X148">
        <v>0.88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2</v>
      </c>
      <c r="AF148" t="s">
        <v>3</v>
      </c>
      <c r="AG148">
        <v>0.88</v>
      </c>
      <c r="AH148">
        <v>2</v>
      </c>
      <c r="AI148">
        <v>48371251</v>
      </c>
      <c r="AJ148">
        <v>147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>
      <c r="A149">
        <f>ROW(Source!A88)</f>
        <v>88</v>
      </c>
      <c r="B149">
        <v>48371252</v>
      </c>
      <c r="C149">
        <v>48371249</v>
      </c>
      <c r="D149">
        <v>37802432</v>
      </c>
      <c r="E149">
        <v>1</v>
      </c>
      <c r="F149">
        <v>1</v>
      </c>
      <c r="G149">
        <v>1</v>
      </c>
      <c r="H149">
        <v>2</v>
      </c>
      <c r="I149" t="s">
        <v>704</v>
      </c>
      <c r="J149" t="s">
        <v>705</v>
      </c>
      <c r="K149" t="s">
        <v>706</v>
      </c>
      <c r="L149">
        <v>1368</v>
      </c>
      <c r="N149">
        <v>1011</v>
      </c>
      <c r="O149" t="s">
        <v>516</v>
      </c>
      <c r="P149" t="s">
        <v>516</v>
      </c>
      <c r="Q149">
        <v>1</v>
      </c>
      <c r="X149">
        <v>0.88</v>
      </c>
      <c r="Y149">
        <v>0</v>
      </c>
      <c r="Z149">
        <v>138.54</v>
      </c>
      <c r="AA149">
        <v>12.1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0.88</v>
      </c>
      <c r="AH149">
        <v>2</v>
      </c>
      <c r="AI149">
        <v>48371252</v>
      </c>
      <c r="AJ149">
        <v>148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>
      <c r="A150">
        <f>ROW(Source!A88)</f>
        <v>88</v>
      </c>
      <c r="B150">
        <v>48371253</v>
      </c>
      <c r="C150">
        <v>48371249</v>
      </c>
      <c r="D150">
        <v>37804065</v>
      </c>
      <c r="E150">
        <v>1</v>
      </c>
      <c r="F150">
        <v>1</v>
      </c>
      <c r="G150">
        <v>1</v>
      </c>
      <c r="H150">
        <v>2</v>
      </c>
      <c r="I150" t="s">
        <v>690</v>
      </c>
      <c r="J150" t="s">
        <v>691</v>
      </c>
      <c r="K150" t="s">
        <v>692</v>
      </c>
      <c r="L150">
        <v>1368</v>
      </c>
      <c r="N150">
        <v>1011</v>
      </c>
      <c r="O150" t="s">
        <v>516</v>
      </c>
      <c r="P150" t="s">
        <v>516</v>
      </c>
      <c r="Q150">
        <v>1</v>
      </c>
      <c r="X150">
        <v>16.38</v>
      </c>
      <c r="Y150">
        <v>0</v>
      </c>
      <c r="Z150">
        <v>2.15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3</v>
      </c>
      <c r="AG150">
        <v>16.38</v>
      </c>
      <c r="AH150">
        <v>2</v>
      </c>
      <c r="AI150">
        <v>48371253</v>
      </c>
      <c r="AJ150">
        <v>149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>
      <c r="A151">
        <f>ROW(Source!A88)</f>
        <v>88</v>
      </c>
      <c r="B151">
        <v>48371254</v>
      </c>
      <c r="C151">
        <v>48371249</v>
      </c>
      <c r="D151">
        <v>37804456</v>
      </c>
      <c r="E151">
        <v>1</v>
      </c>
      <c r="F151">
        <v>1</v>
      </c>
      <c r="G151">
        <v>1</v>
      </c>
      <c r="H151">
        <v>2</v>
      </c>
      <c r="I151" t="s">
        <v>530</v>
      </c>
      <c r="J151" t="s">
        <v>531</v>
      </c>
      <c r="K151" t="s">
        <v>532</v>
      </c>
      <c r="L151">
        <v>1368</v>
      </c>
      <c r="N151">
        <v>1011</v>
      </c>
      <c r="O151" t="s">
        <v>516</v>
      </c>
      <c r="P151" t="s">
        <v>516</v>
      </c>
      <c r="Q151">
        <v>1</v>
      </c>
      <c r="X151">
        <v>0.87</v>
      </c>
      <c r="Y151">
        <v>0</v>
      </c>
      <c r="Z151">
        <v>91.76</v>
      </c>
      <c r="AA151">
        <v>10.35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0.87</v>
      </c>
      <c r="AH151">
        <v>2</v>
      </c>
      <c r="AI151">
        <v>48371254</v>
      </c>
      <c r="AJ151">
        <v>150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>
      <c r="A152">
        <f>ROW(Source!A88)</f>
        <v>88</v>
      </c>
      <c r="B152">
        <v>48371255</v>
      </c>
      <c r="C152">
        <v>48371249</v>
      </c>
      <c r="D152">
        <v>37736880</v>
      </c>
      <c r="E152">
        <v>1</v>
      </c>
      <c r="F152">
        <v>1</v>
      </c>
      <c r="G152">
        <v>1</v>
      </c>
      <c r="H152">
        <v>3</v>
      </c>
      <c r="I152" t="s">
        <v>707</v>
      </c>
      <c r="J152" t="s">
        <v>708</v>
      </c>
      <c r="K152" t="s">
        <v>709</v>
      </c>
      <c r="L152">
        <v>1348</v>
      </c>
      <c r="N152">
        <v>1009</v>
      </c>
      <c r="O152" t="s">
        <v>536</v>
      </c>
      <c r="P152" t="s">
        <v>536</v>
      </c>
      <c r="Q152">
        <v>1000</v>
      </c>
      <c r="X152">
        <v>3.0599999999999998E-3</v>
      </c>
      <c r="Y152">
        <v>13424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3.0599999999999998E-3</v>
      </c>
      <c r="AH152">
        <v>2</v>
      </c>
      <c r="AI152">
        <v>48371255</v>
      </c>
      <c r="AJ152">
        <v>151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>
      <c r="A153">
        <f>ROW(Source!A88)</f>
        <v>88</v>
      </c>
      <c r="B153">
        <v>48371256</v>
      </c>
      <c r="C153">
        <v>48371249</v>
      </c>
      <c r="D153">
        <v>37733044</v>
      </c>
      <c r="E153">
        <v>1</v>
      </c>
      <c r="F153">
        <v>1</v>
      </c>
      <c r="G153">
        <v>1</v>
      </c>
      <c r="H153">
        <v>3</v>
      </c>
      <c r="I153" t="s">
        <v>710</v>
      </c>
      <c r="J153" t="s">
        <v>711</v>
      </c>
      <c r="K153" t="s">
        <v>712</v>
      </c>
      <c r="L153">
        <v>1346</v>
      </c>
      <c r="N153">
        <v>1009</v>
      </c>
      <c r="O153" t="s">
        <v>172</v>
      </c>
      <c r="P153" t="s">
        <v>172</v>
      </c>
      <c r="Q153">
        <v>1</v>
      </c>
      <c r="X153">
        <v>0.31</v>
      </c>
      <c r="Y153">
        <v>31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0.31</v>
      </c>
      <c r="AH153">
        <v>2</v>
      </c>
      <c r="AI153">
        <v>48371256</v>
      </c>
      <c r="AJ153">
        <v>152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>
      <c r="A154">
        <f>ROW(Source!A88)</f>
        <v>88</v>
      </c>
      <c r="B154">
        <v>48371257</v>
      </c>
      <c r="C154">
        <v>48371249</v>
      </c>
      <c r="D154">
        <v>37737061</v>
      </c>
      <c r="E154">
        <v>1</v>
      </c>
      <c r="F154">
        <v>1</v>
      </c>
      <c r="G154">
        <v>1</v>
      </c>
      <c r="H154">
        <v>3</v>
      </c>
      <c r="I154" t="s">
        <v>713</v>
      </c>
      <c r="J154" t="s">
        <v>714</v>
      </c>
      <c r="K154" t="s">
        <v>715</v>
      </c>
      <c r="L154">
        <v>1355</v>
      </c>
      <c r="N154">
        <v>1010</v>
      </c>
      <c r="O154" t="s">
        <v>64</v>
      </c>
      <c r="P154" t="s">
        <v>64</v>
      </c>
      <c r="Q154">
        <v>100</v>
      </c>
      <c r="X154">
        <v>4.08</v>
      </c>
      <c r="Y154">
        <v>87.29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4.08</v>
      </c>
      <c r="AH154">
        <v>2</v>
      </c>
      <c r="AI154">
        <v>48371257</v>
      </c>
      <c r="AJ154">
        <v>153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>
      <c r="A155">
        <f>ROW(Source!A88)</f>
        <v>88</v>
      </c>
      <c r="B155">
        <v>48371258</v>
      </c>
      <c r="C155">
        <v>48371249</v>
      </c>
      <c r="D155">
        <v>37792542</v>
      </c>
      <c r="E155">
        <v>1</v>
      </c>
      <c r="F155">
        <v>1</v>
      </c>
      <c r="G155">
        <v>1</v>
      </c>
      <c r="H155">
        <v>3</v>
      </c>
      <c r="I155" t="s">
        <v>716</v>
      </c>
      <c r="J155" t="s">
        <v>717</v>
      </c>
      <c r="K155" t="s">
        <v>718</v>
      </c>
      <c r="L155">
        <v>1355</v>
      </c>
      <c r="N155">
        <v>1010</v>
      </c>
      <c r="O155" t="s">
        <v>64</v>
      </c>
      <c r="P155" t="s">
        <v>64</v>
      </c>
      <c r="Q155">
        <v>100</v>
      </c>
      <c r="X155">
        <v>1.02</v>
      </c>
      <c r="Y155">
        <v>101.5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1.02</v>
      </c>
      <c r="AH155">
        <v>2</v>
      </c>
      <c r="AI155">
        <v>48371258</v>
      </c>
      <c r="AJ155">
        <v>154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>
      <c r="A156">
        <f>ROW(Source!A88)</f>
        <v>88</v>
      </c>
      <c r="B156">
        <v>48371259</v>
      </c>
      <c r="C156">
        <v>48371249</v>
      </c>
      <c r="D156">
        <v>37801918</v>
      </c>
      <c r="E156">
        <v>1</v>
      </c>
      <c r="F156">
        <v>1</v>
      </c>
      <c r="G156">
        <v>1</v>
      </c>
      <c r="H156">
        <v>3</v>
      </c>
      <c r="I156" t="s">
        <v>719</v>
      </c>
      <c r="J156" t="s">
        <v>720</v>
      </c>
      <c r="K156" t="s">
        <v>721</v>
      </c>
      <c r="L156">
        <v>1374</v>
      </c>
      <c r="N156">
        <v>1013</v>
      </c>
      <c r="O156" t="s">
        <v>722</v>
      </c>
      <c r="P156" t="s">
        <v>722</v>
      </c>
      <c r="Q156">
        <v>1</v>
      </c>
      <c r="X156">
        <v>13.1</v>
      </c>
      <c r="Y156">
        <v>1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13.1</v>
      </c>
      <c r="AH156">
        <v>2</v>
      </c>
      <c r="AI156">
        <v>48371259</v>
      </c>
      <c r="AJ156">
        <v>155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>
      <c r="A157">
        <f>ROW(Source!A90)</f>
        <v>90</v>
      </c>
      <c r="B157">
        <v>48371420</v>
      </c>
      <c r="C157">
        <v>48371419</v>
      </c>
      <c r="D157">
        <v>23135499</v>
      </c>
      <c r="E157">
        <v>1</v>
      </c>
      <c r="F157">
        <v>1</v>
      </c>
      <c r="G157">
        <v>1</v>
      </c>
      <c r="H157">
        <v>1</v>
      </c>
      <c r="I157" t="s">
        <v>623</v>
      </c>
      <c r="J157" t="s">
        <v>3</v>
      </c>
      <c r="K157" t="s">
        <v>624</v>
      </c>
      <c r="L157">
        <v>1369</v>
      </c>
      <c r="N157">
        <v>1013</v>
      </c>
      <c r="O157" t="s">
        <v>510</v>
      </c>
      <c r="P157" t="s">
        <v>510</v>
      </c>
      <c r="Q157">
        <v>1</v>
      </c>
      <c r="X157">
        <v>21.65</v>
      </c>
      <c r="Y157">
        <v>0</v>
      </c>
      <c r="Z157">
        <v>0</v>
      </c>
      <c r="AA157">
        <v>0</v>
      </c>
      <c r="AB157">
        <v>8.99</v>
      </c>
      <c r="AC157">
        <v>0</v>
      </c>
      <c r="AD157">
        <v>1</v>
      </c>
      <c r="AE157">
        <v>1</v>
      </c>
      <c r="AF157" t="s">
        <v>161</v>
      </c>
      <c r="AG157">
        <v>24.897499999999997</v>
      </c>
      <c r="AH157">
        <v>2</v>
      </c>
      <c r="AI157">
        <v>48371420</v>
      </c>
      <c r="AJ157">
        <v>156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>
      <c r="A158">
        <f>ROW(Source!A90)</f>
        <v>90</v>
      </c>
      <c r="B158">
        <v>48371421</v>
      </c>
      <c r="C158">
        <v>48371419</v>
      </c>
      <c r="D158">
        <v>121548</v>
      </c>
      <c r="E158">
        <v>1</v>
      </c>
      <c r="F158">
        <v>1</v>
      </c>
      <c r="G158">
        <v>1</v>
      </c>
      <c r="H158">
        <v>1</v>
      </c>
      <c r="I158" t="s">
        <v>24</v>
      </c>
      <c r="J158" t="s">
        <v>3</v>
      </c>
      <c r="K158" t="s">
        <v>511</v>
      </c>
      <c r="L158">
        <v>608254</v>
      </c>
      <c r="N158">
        <v>1013</v>
      </c>
      <c r="O158" t="s">
        <v>512</v>
      </c>
      <c r="P158" t="s">
        <v>512</v>
      </c>
      <c r="Q158">
        <v>1</v>
      </c>
      <c r="X158">
        <v>0.13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160</v>
      </c>
      <c r="AG158">
        <v>0.16250000000000001</v>
      </c>
      <c r="AH158">
        <v>2</v>
      </c>
      <c r="AI158">
        <v>48371421</v>
      </c>
      <c r="AJ158">
        <v>157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>
      <c r="A159">
        <f>ROW(Source!A90)</f>
        <v>90</v>
      </c>
      <c r="B159">
        <v>48371422</v>
      </c>
      <c r="C159">
        <v>48371419</v>
      </c>
      <c r="D159">
        <v>37802578</v>
      </c>
      <c r="E159">
        <v>1</v>
      </c>
      <c r="F159">
        <v>1</v>
      </c>
      <c r="G159">
        <v>1</v>
      </c>
      <c r="H159">
        <v>2</v>
      </c>
      <c r="I159" t="s">
        <v>550</v>
      </c>
      <c r="J159" t="s">
        <v>551</v>
      </c>
      <c r="K159" t="s">
        <v>552</v>
      </c>
      <c r="L159">
        <v>1368</v>
      </c>
      <c r="N159">
        <v>1011</v>
      </c>
      <c r="O159" t="s">
        <v>516</v>
      </c>
      <c r="P159" t="s">
        <v>516</v>
      </c>
      <c r="Q159">
        <v>1</v>
      </c>
      <c r="X159">
        <v>0.13</v>
      </c>
      <c r="Y159">
        <v>0</v>
      </c>
      <c r="Z159">
        <v>32.090000000000003</v>
      </c>
      <c r="AA159">
        <v>12.1</v>
      </c>
      <c r="AB159">
        <v>0</v>
      </c>
      <c r="AC159">
        <v>0</v>
      </c>
      <c r="AD159">
        <v>1</v>
      </c>
      <c r="AE159">
        <v>0</v>
      </c>
      <c r="AF159" t="s">
        <v>160</v>
      </c>
      <c r="AG159">
        <v>0.16250000000000001</v>
      </c>
      <c r="AH159">
        <v>2</v>
      </c>
      <c r="AI159">
        <v>48371422</v>
      </c>
      <c r="AJ159">
        <v>158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>
      <c r="A160">
        <f>ROW(Source!A90)</f>
        <v>90</v>
      </c>
      <c r="B160">
        <v>48371423</v>
      </c>
      <c r="C160">
        <v>48371419</v>
      </c>
      <c r="D160">
        <v>37804065</v>
      </c>
      <c r="E160">
        <v>1</v>
      </c>
      <c r="F160">
        <v>1</v>
      </c>
      <c r="G160">
        <v>1</v>
      </c>
      <c r="H160">
        <v>2</v>
      </c>
      <c r="I160" t="s">
        <v>690</v>
      </c>
      <c r="J160" t="s">
        <v>691</v>
      </c>
      <c r="K160" t="s">
        <v>692</v>
      </c>
      <c r="L160">
        <v>1368</v>
      </c>
      <c r="N160">
        <v>1011</v>
      </c>
      <c r="O160" t="s">
        <v>516</v>
      </c>
      <c r="P160" t="s">
        <v>516</v>
      </c>
      <c r="Q160">
        <v>1</v>
      </c>
      <c r="X160">
        <v>0.2</v>
      </c>
      <c r="Y160">
        <v>0</v>
      </c>
      <c r="Z160">
        <v>2.15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160</v>
      </c>
      <c r="AG160">
        <v>0.25</v>
      </c>
      <c r="AH160">
        <v>2</v>
      </c>
      <c r="AI160">
        <v>48371423</v>
      </c>
      <c r="AJ160">
        <v>159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>
      <c r="A161">
        <f>ROW(Source!A90)</f>
        <v>90</v>
      </c>
      <c r="B161">
        <v>48371424</v>
      </c>
      <c r="C161">
        <v>48371419</v>
      </c>
      <c r="D161">
        <v>37804456</v>
      </c>
      <c r="E161">
        <v>1</v>
      </c>
      <c r="F161">
        <v>1</v>
      </c>
      <c r="G161">
        <v>1</v>
      </c>
      <c r="H161">
        <v>2</v>
      </c>
      <c r="I161" t="s">
        <v>530</v>
      </c>
      <c r="J161" t="s">
        <v>531</v>
      </c>
      <c r="K161" t="s">
        <v>532</v>
      </c>
      <c r="L161">
        <v>1368</v>
      </c>
      <c r="N161">
        <v>1011</v>
      </c>
      <c r="O161" t="s">
        <v>516</v>
      </c>
      <c r="P161" t="s">
        <v>516</v>
      </c>
      <c r="Q161">
        <v>1</v>
      </c>
      <c r="X161">
        <v>0.22</v>
      </c>
      <c r="Y161">
        <v>0</v>
      </c>
      <c r="Z161">
        <v>91.76</v>
      </c>
      <c r="AA161">
        <v>10.35</v>
      </c>
      <c r="AB161">
        <v>0</v>
      </c>
      <c r="AC161">
        <v>0</v>
      </c>
      <c r="AD161">
        <v>1</v>
      </c>
      <c r="AE161">
        <v>0</v>
      </c>
      <c r="AF161" t="s">
        <v>160</v>
      </c>
      <c r="AG161">
        <v>0.27500000000000002</v>
      </c>
      <c r="AH161">
        <v>2</v>
      </c>
      <c r="AI161">
        <v>48371424</v>
      </c>
      <c r="AJ161">
        <v>160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>
      <c r="A162">
        <f>ROW(Source!A90)</f>
        <v>90</v>
      </c>
      <c r="B162">
        <v>48371425</v>
      </c>
      <c r="C162">
        <v>48371419</v>
      </c>
      <c r="D162">
        <v>37732516</v>
      </c>
      <c r="E162">
        <v>1</v>
      </c>
      <c r="F162">
        <v>1</v>
      </c>
      <c r="G162">
        <v>1</v>
      </c>
      <c r="H162">
        <v>3</v>
      </c>
      <c r="I162" t="s">
        <v>723</v>
      </c>
      <c r="J162" t="s">
        <v>724</v>
      </c>
      <c r="K162" t="s">
        <v>725</v>
      </c>
      <c r="L162">
        <v>1348</v>
      </c>
      <c r="N162">
        <v>1009</v>
      </c>
      <c r="O162" t="s">
        <v>536</v>
      </c>
      <c r="P162" t="s">
        <v>536</v>
      </c>
      <c r="Q162">
        <v>1000</v>
      </c>
      <c r="X162">
        <v>4.0000000000000002E-4</v>
      </c>
      <c r="Y162">
        <v>20713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230</v>
      </c>
      <c r="AG162">
        <v>0</v>
      </c>
      <c r="AH162">
        <v>2</v>
      </c>
      <c r="AI162">
        <v>48371425</v>
      </c>
      <c r="AJ162">
        <v>161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>
      <c r="A163">
        <f>ROW(Source!A90)</f>
        <v>90</v>
      </c>
      <c r="B163">
        <v>48371426</v>
      </c>
      <c r="C163">
        <v>48371419</v>
      </c>
      <c r="D163">
        <v>37732761</v>
      </c>
      <c r="E163">
        <v>1</v>
      </c>
      <c r="F163">
        <v>1</v>
      </c>
      <c r="G163">
        <v>1</v>
      </c>
      <c r="H163">
        <v>3</v>
      </c>
      <c r="I163" t="s">
        <v>726</v>
      </c>
      <c r="J163" t="s">
        <v>727</v>
      </c>
      <c r="K163" t="s">
        <v>728</v>
      </c>
      <c r="L163">
        <v>1348</v>
      </c>
      <c r="N163">
        <v>1009</v>
      </c>
      <c r="O163" t="s">
        <v>536</v>
      </c>
      <c r="P163" t="s">
        <v>536</v>
      </c>
      <c r="Q163">
        <v>1000</v>
      </c>
      <c r="X163">
        <v>2.0000000000000001E-4</v>
      </c>
      <c r="Y163">
        <v>17917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230</v>
      </c>
      <c r="AG163">
        <v>0</v>
      </c>
      <c r="AH163">
        <v>2</v>
      </c>
      <c r="AI163">
        <v>48371426</v>
      </c>
      <c r="AJ163">
        <v>162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>
      <c r="A164">
        <f>ROW(Source!A90)</f>
        <v>90</v>
      </c>
      <c r="B164">
        <v>48371427</v>
      </c>
      <c r="C164">
        <v>48371419</v>
      </c>
      <c r="D164">
        <v>37735405</v>
      </c>
      <c r="E164">
        <v>1</v>
      </c>
      <c r="F164">
        <v>1</v>
      </c>
      <c r="G164">
        <v>1</v>
      </c>
      <c r="H164">
        <v>3</v>
      </c>
      <c r="I164" t="s">
        <v>729</v>
      </c>
      <c r="J164" t="s">
        <v>730</v>
      </c>
      <c r="K164" t="s">
        <v>731</v>
      </c>
      <c r="L164">
        <v>1348</v>
      </c>
      <c r="N164">
        <v>1009</v>
      </c>
      <c r="O164" t="s">
        <v>536</v>
      </c>
      <c r="P164" t="s">
        <v>536</v>
      </c>
      <c r="Q164">
        <v>1000</v>
      </c>
      <c r="X164">
        <v>3.5999999999999999E-3</v>
      </c>
      <c r="Y164">
        <v>5989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230</v>
      </c>
      <c r="AG164">
        <v>0</v>
      </c>
      <c r="AH164">
        <v>2</v>
      </c>
      <c r="AI164">
        <v>48371427</v>
      </c>
      <c r="AJ164">
        <v>163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>
      <c r="A165">
        <f>ROW(Source!A90)</f>
        <v>90</v>
      </c>
      <c r="B165">
        <v>48371428</v>
      </c>
      <c r="C165">
        <v>48371419</v>
      </c>
      <c r="D165">
        <v>37730096</v>
      </c>
      <c r="E165">
        <v>1</v>
      </c>
      <c r="F165">
        <v>1</v>
      </c>
      <c r="G165">
        <v>1</v>
      </c>
      <c r="H165">
        <v>3</v>
      </c>
      <c r="I165" t="s">
        <v>732</v>
      </c>
      <c r="J165" t="s">
        <v>733</v>
      </c>
      <c r="K165" t="s">
        <v>734</v>
      </c>
      <c r="L165">
        <v>1346</v>
      </c>
      <c r="N165">
        <v>1009</v>
      </c>
      <c r="O165" t="s">
        <v>172</v>
      </c>
      <c r="P165" t="s">
        <v>172</v>
      </c>
      <c r="Q165">
        <v>1</v>
      </c>
      <c r="X165">
        <v>0.3</v>
      </c>
      <c r="Y165">
        <v>37.29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230</v>
      </c>
      <c r="AG165">
        <v>0</v>
      </c>
      <c r="AH165">
        <v>2</v>
      </c>
      <c r="AI165">
        <v>48371428</v>
      </c>
      <c r="AJ165">
        <v>164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>
      <c r="A166">
        <f>ROW(Source!A90)</f>
        <v>90</v>
      </c>
      <c r="B166">
        <v>48371429</v>
      </c>
      <c r="C166">
        <v>48371419</v>
      </c>
      <c r="D166">
        <v>37730022</v>
      </c>
      <c r="E166">
        <v>1</v>
      </c>
      <c r="F166">
        <v>1</v>
      </c>
      <c r="G166">
        <v>1</v>
      </c>
      <c r="H166">
        <v>3</v>
      </c>
      <c r="I166" t="s">
        <v>735</v>
      </c>
      <c r="J166" t="s">
        <v>736</v>
      </c>
      <c r="K166" t="s">
        <v>737</v>
      </c>
      <c r="L166">
        <v>1346</v>
      </c>
      <c r="N166">
        <v>1009</v>
      </c>
      <c r="O166" t="s">
        <v>172</v>
      </c>
      <c r="P166" t="s">
        <v>172</v>
      </c>
      <c r="Q166">
        <v>1</v>
      </c>
      <c r="X166">
        <v>2</v>
      </c>
      <c r="Y166">
        <v>9.61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230</v>
      </c>
      <c r="AG166">
        <v>0</v>
      </c>
      <c r="AH166">
        <v>2</v>
      </c>
      <c r="AI166">
        <v>48371429</v>
      </c>
      <c r="AJ166">
        <v>165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>
      <c r="A167">
        <f>ROW(Source!A90)</f>
        <v>90</v>
      </c>
      <c r="B167">
        <v>48371430</v>
      </c>
      <c r="C167">
        <v>48371419</v>
      </c>
      <c r="D167">
        <v>37737285</v>
      </c>
      <c r="E167">
        <v>1</v>
      </c>
      <c r="F167">
        <v>1</v>
      </c>
      <c r="G167">
        <v>1</v>
      </c>
      <c r="H167">
        <v>3</v>
      </c>
      <c r="I167" t="s">
        <v>738</v>
      </c>
      <c r="J167" t="s">
        <v>739</v>
      </c>
      <c r="K167" t="s">
        <v>740</v>
      </c>
      <c r="L167">
        <v>1348</v>
      </c>
      <c r="N167">
        <v>1009</v>
      </c>
      <c r="O167" t="s">
        <v>536</v>
      </c>
      <c r="P167" t="s">
        <v>536</v>
      </c>
      <c r="Q167">
        <v>1000</v>
      </c>
      <c r="X167">
        <v>6.9999999999999999E-4</v>
      </c>
      <c r="Y167">
        <v>11350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230</v>
      </c>
      <c r="AG167">
        <v>0</v>
      </c>
      <c r="AH167">
        <v>2</v>
      </c>
      <c r="AI167">
        <v>48371430</v>
      </c>
      <c r="AJ167">
        <v>166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>
      <c r="A168">
        <f>ROW(Source!A90)</f>
        <v>90</v>
      </c>
      <c r="B168">
        <v>48371431</v>
      </c>
      <c r="C168">
        <v>48371419</v>
      </c>
      <c r="D168">
        <v>37737065</v>
      </c>
      <c r="E168">
        <v>1</v>
      </c>
      <c r="F168">
        <v>1</v>
      </c>
      <c r="G168">
        <v>1</v>
      </c>
      <c r="H168">
        <v>3</v>
      </c>
      <c r="I168" t="s">
        <v>741</v>
      </c>
      <c r="J168" t="s">
        <v>742</v>
      </c>
      <c r="K168" t="s">
        <v>743</v>
      </c>
      <c r="L168">
        <v>1358</v>
      </c>
      <c r="N168">
        <v>1010</v>
      </c>
      <c r="O168" t="s">
        <v>278</v>
      </c>
      <c r="P168" t="s">
        <v>278</v>
      </c>
      <c r="Q168">
        <v>10</v>
      </c>
      <c r="X168">
        <v>4</v>
      </c>
      <c r="Y168">
        <v>2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230</v>
      </c>
      <c r="AG168">
        <v>0</v>
      </c>
      <c r="AH168">
        <v>2</v>
      </c>
      <c r="AI168">
        <v>48371431</v>
      </c>
      <c r="AJ168">
        <v>167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>
      <c r="A169">
        <f>ROW(Source!A90)</f>
        <v>90</v>
      </c>
      <c r="B169">
        <v>48371432</v>
      </c>
      <c r="C169">
        <v>48371419</v>
      </c>
      <c r="D169">
        <v>37764714</v>
      </c>
      <c r="E169">
        <v>1</v>
      </c>
      <c r="F169">
        <v>1</v>
      </c>
      <c r="G169">
        <v>1</v>
      </c>
      <c r="H169">
        <v>3</v>
      </c>
      <c r="I169" t="s">
        <v>744</v>
      </c>
      <c r="J169" t="s">
        <v>745</v>
      </c>
      <c r="K169" t="s">
        <v>746</v>
      </c>
      <c r="L169">
        <v>1035</v>
      </c>
      <c r="N169">
        <v>1013</v>
      </c>
      <c r="O169" t="s">
        <v>255</v>
      </c>
      <c r="P169" t="s">
        <v>255</v>
      </c>
      <c r="Q169">
        <v>1</v>
      </c>
      <c r="X169">
        <v>10</v>
      </c>
      <c r="Y169">
        <v>237.7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230</v>
      </c>
      <c r="AG169">
        <v>0</v>
      </c>
      <c r="AH169">
        <v>2</v>
      </c>
      <c r="AI169">
        <v>48371432</v>
      </c>
      <c r="AJ169">
        <v>168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>
      <c r="A170">
        <f>ROW(Source!A91)</f>
        <v>91</v>
      </c>
      <c r="B170">
        <v>48371463</v>
      </c>
      <c r="C170">
        <v>48371462</v>
      </c>
      <c r="D170">
        <v>23134664</v>
      </c>
      <c r="E170">
        <v>1</v>
      </c>
      <c r="F170">
        <v>1</v>
      </c>
      <c r="G170">
        <v>1</v>
      </c>
      <c r="H170">
        <v>1</v>
      </c>
      <c r="I170" t="s">
        <v>567</v>
      </c>
      <c r="J170" t="s">
        <v>3</v>
      </c>
      <c r="K170" t="s">
        <v>568</v>
      </c>
      <c r="L170">
        <v>1369</v>
      </c>
      <c r="N170">
        <v>1013</v>
      </c>
      <c r="O170" t="s">
        <v>510</v>
      </c>
      <c r="P170" t="s">
        <v>510</v>
      </c>
      <c r="Q170">
        <v>1</v>
      </c>
      <c r="X170">
        <v>24.64</v>
      </c>
      <c r="Y170">
        <v>0</v>
      </c>
      <c r="Z170">
        <v>0</v>
      </c>
      <c r="AA170">
        <v>0</v>
      </c>
      <c r="AB170">
        <v>8.89</v>
      </c>
      <c r="AC170">
        <v>0</v>
      </c>
      <c r="AD170">
        <v>1</v>
      </c>
      <c r="AE170">
        <v>1</v>
      </c>
      <c r="AF170" t="s">
        <v>161</v>
      </c>
      <c r="AG170">
        <v>28.335999999999999</v>
      </c>
      <c r="AH170">
        <v>2</v>
      </c>
      <c r="AI170">
        <v>48371463</v>
      </c>
      <c r="AJ170">
        <v>169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>
      <c r="A171">
        <f>ROW(Source!A91)</f>
        <v>91</v>
      </c>
      <c r="B171">
        <v>48371464</v>
      </c>
      <c r="C171">
        <v>48371462</v>
      </c>
      <c r="D171">
        <v>121548</v>
      </c>
      <c r="E171">
        <v>1</v>
      </c>
      <c r="F171">
        <v>1</v>
      </c>
      <c r="G171">
        <v>1</v>
      </c>
      <c r="H171">
        <v>1</v>
      </c>
      <c r="I171" t="s">
        <v>24</v>
      </c>
      <c r="J171" t="s">
        <v>3</v>
      </c>
      <c r="K171" t="s">
        <v>511</v>
      </c>
      <c r="L171">
        <v>608254</v>
      </c>
      <c r="N171">
        <v>1013</v>
      </c>
      <c r="O171" t="s">
        <v>512</v>
      </c>
      <c r="P171" t="s">
        <v>512</v>
      </c>
      <c r="Q171">
        <v>1</v>
      </c>
      <c r="X171">
        <v>0.32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2</v>
      </c>
      <c r="AF171" t="s">
        <v>160</v>
      </c>
      <c r="AG171">
        <v>0.4</v>
      </c>
      <c r="AH171">
        <v>2</v>
      </c>
      <c r="AI171">
        <v>48371464</v>
      </c>
      <c r="AJ171">
        <v>170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>
      <c r="A172">
        <f>ROW(Source!A91)</f>
        <v>91</v>
      </c>
      <c r="B172">
        <v>48371465</v>
      </c>
      <c r="C172">
        <v>48371462</v>
      </c>
      <c r="D172">
        <v>37802578</v>
      </c>
      <c r="E172">
        <v>1</v>
      </c>
      <c r="F172">
        <v>1</v>
      </c>
      <c r="G172">
        <v>1</v>
      </c>
      <c r="H172">
        <v>2</v>
      </c>
      <c r="I172" t="s">
        <v>550</v>
      </c>
      <c r="J172" t="s">
        <v>551</v>
      </c>
      <c r="K172" t="s">
        <v>552</v>
      </c>
      <c r="L172">
        <v>1368</v>
      </c>
      <c r="N172">
        <v>1011</v>
      </c>
      <c r="O172" t="s">
        <v>516</v>
      </c>
      <c r="P172" t="s">
        <v>516</v>
      </c>
      <c r="Q172">
        <v>1</v>
      </c>
      <c r="X172">
        <v>0.32</v>
      </c>
      <c r="Y172">
        <v>0</v>
      </c>
      <c r="Z172">
        <v>32.090000000000003</v>
      </c>
      <c r="AA172">
        <v>12.1</v>
      </c>
      <c r="AB172">
        <v>0</v>
      </c>
      <c r="AC172">
        <v>0</v>
      </c>
      <c r="AD172">
        <v>1</v>
      </c>
      <c r="AE172">
        <v>0</v>
      </c>
      <c r="AF172" t="s">
        <v>160</v>
      </c>
      <c r="AG172">
        <v>0.4</v>
      </c>
      <c r="AH172">
        <v>2</v>
      </c>
      <c r="AI172">
        <v>48371465</v>
      </c>
      <c r="AJ172">
        <v>171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>
      <c r="A173">
        <f>ROW(Source!A91)</f>
        <v>91</v>
      </c>
      <c r="B173">
        <v>48371466</v>
      </c>
      <c r="C173">
        <v>48371462</v>
      </c>
      <c r="D173">
        <v>37804065</v>
      </c>
      <c r="E173">
        <v>1</v>
      </c>
      <c r="F173">
        <v>1</v>
      </c>
      <c r="G173">
        <v>1</v>
      </c>
      <c r="H173">
        <v>2</v>
      </c>
      <c r="I173" t="s">
        <v>690</v>
      </c>
      <c r="J173" t="s">
        <v>691</v>
      </c>
      <c r="K173" t="s">
        <v>692</v>
      </c>
      <c r="L173">
        <v>1368</v>
      </c>
      <c r="N173">
        <v>1011</v>
      </c>
      <c r="O173" t="s">
        <v>516</v>
      </c>
      <c r="P173" t="s">
        <v>516</v>
      </c>
      <c r="Q173">
        <v>1</v>
      </c>
      <c r="X173">
        <v>0.2</v>
      </c>
      <c r="Y173">
        <v>0</v>
      </c>
      <c r="Z173">
        <v>2.15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160</v>
      </c>
      <c r="AG173">
        <v>0.25</v>
      </c>
      <c r="AH173">
        <v>2</v>
      </c>
      <c r="AI173">
        <v>48371466</v>
      </c>
      <c r="AJ173">
        <v>172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>
      <c r="A174">
        <f>ROW(Source!A91)</f>
        <v>91</v>
      </c>
      <c r="B174">
        <v>48371467</v>
      </c>
      <c r="C174">
        <v>48371462</v>
      </c>
      <c r="D174">
        <v>37804456</v>
      </c>
      <c r="E174">
        <v>1</v>
      </c>
      <c r="F174">
        <v>1</v>
      </c>
      <c r="G174">
        <v>1</v>
      </c>
      <c r="H174">
        <v>2</v>
      </c>
      <c r="I174" t="s">
        <v>530</v>
      </c>
      <c r="J174" t="s">
        <v>531</v>
      </c>
      <c r="K174" t="s">
        <v>532</v>
      </c>
      <c r="L174">
        <v>1368</v>
      </c>
      <c r="N174">
        <v>1011</v>
      </c>
      <c r="O174" t="s">
        <v>516</v>
      </c>
      <c r="P174" t="s">
        <v>516</v>
      </c>
      <c r="Q174">
        <v>1</v>
      </c>
      <c r="X174">
        <v>0.39</v>
      </c>
      <c r="Y174">
        <v>0</v>
      </c>
      <c r="Z174">
        <v>91.76</v>
      </c>
      <c r="AA174">
        <v>10.35</v>
      </c>
      <c r="AB174">
        <v>0</v>
      </c>
      <c r="AC174">
        <v>0</v>
      </c>
      <c r="AD174">
        <v>1</v>
      </c>
      <c r="AE174">
        <v>0</v>
      </c>
      <c r="AF174" t="s">
        <v>160</v>
      </c>
      <c r="AG174">
        <v>0.48750000000000004</v>
      </c>
      <c r="AH174">
        <v>2</v>
      </c>
      <c r="AI174">
        <v>48371467</v>
      </c>
      <c r="AJ174">
        <v>173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>
      <c r="A175">
        <f>ROW(Source!A91)</f>
        <v>91</v>
      </c>
      <c r="B175">
        <v>48371468</v>
      </c>
      <c r="C175">
        <v>48371462</v>
      </c>
      <c r="D175">
        <v>37730045</v>
      </c>
      <c r="E175">
        <v>1</v>
      </c>
      <c r="F175">
        <v>1</v>
      </c>
      <c r="G175">
        <v>1</v>
      </c>
      <c r="H175">
        <v>3</v>
      </c>
      <c r="I175" t="s">
        <v>747</v>
      </c>
      <c r="J175" t="s">
        <v>748</v>
      </c>
      <c r="K175" t="s">
        <v>749</v>
      </c>
      <c r="L175">
        <v>1348</v>
      </c>
      <c r="N175">
        <v>1009</v>
      </c>
      <c r="O175" t="s">
        <v>536</v>
      </c>
      <c r="P175" t="s">
        <v>536</v>
      </c>
      <c r="Q175">
        <v>1000</v>
      </c>
      <c r="X175">
        <v>1E-3</v>
      </c>
      <c r="Y175">
        <v>30030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F175" t="s">
        <v>230</v>
      </c>
      <c r="AG175">
        <v>0</v>
      </c>
      <c r="AH175">
        <v>2</v>
      </c>
      <c r="AI175">
        <v>48371468</v>
      </c>
      <c r="AJ175">
        <v>174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>
      <c r="A176">
        <f>ROW(Source!A91)</f>
        <v>91</v>
      </c>
      <c r="B176">
        <v>48371469</v>
      </c>
      <c r="C176">
        <v>48371462</v>
      </c>
      <c r="D176">
        <v>37732516</v>
      </c>
      <c r="E176">
        <v>1</v>
      </c>
      <c r="F176">
        <v>1</v>
      </c>
      <c r="G176">
        <v>1</v>
      </c>
      <c r="H176">
        <v>3</v>
      </c>
      <c r="I176" t="s">
        <v>723</v>
      </c>
      <c r="J176" t="s">
        <v>724</v>
      </c>
      <c r="K176" t="s">
        <v>725</v>
      </c>
      <c r="L176">
        <v>1348</v>
      </c>
      <c r="N176">
        <v>1009</v>
      </c>
      <c r="O176" t="s">
        <v>536</v>
      </c>
      <c r="P176" t="s">
        <v>536</v>
      </c>
      <c r="Q176">
        <v>1000</v>
      </c>
      <c r="X176">
        <v>4.0000000000000002E-4</v>
      </c>
      <c r="Y176">
        <v>20713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230</v>
      </c>
      <c r="AG176">
        <v>0</v>
      </c>
      <c r="AH176">
        <v>2</v>
      </c>
      <c r="AI176">
        <v>48371469</v>
      </c>
      <c r="AJ176">
        <v>175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>
      <c r="A177">
        <f>ROW(Source!A91)</f>
        <v>91</v>
      </c>
      <c r="B177">
        <v>48371470</v>
      </c>
      <c r="C177">
        <v>48371462</v>
      </c>
      <c r="D177">
        <v>37732761</v>
      </c>
      <c r="E177">
        <v>1</v>
      </c>
      <c r="F177">
        <v>1</v>
      </c>
      <c r="G177">
        <v>1</v>
      </c>
      <c r="H177">
        <v>3</v>
      </c>
      <c r="I177" t="s">
        <v>726</v>
      </c>
      <c r="J177" t="s">
        <v>727</v>
      </c>
      <c r="K177" t="s">
        <v>728</v>
      </c>
      <c r="L177">
        <v>1348</v>
      </c>
      <c r="N177">
        <v>1009</v>
      </c>
      <c r="O177" t="s">
        <v>536</v>
      </c>
      <c r="P177" t="s">
        <v>536</v>
      </c>
      <c r="Q177">
        <v>1000</v>
      </c>
      <c r="X177">
        <v>2.0000000000000001E-4</v>
      </c>
      <c r="Y177">
        <v>17917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230</v>
      </c>
      <c r="AG177">
        <v>0</v>
      </c>
      <c r="AH177">
        <v>2</v>
      </c>
      <c r="AI177">
        <v>48371470</v>
      </c>
      <c r="AJ177">
        <v>176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>
      <c r="A178">
        <f>ROW(Source!A91)</f>
        <v>91</v>
      </c>
      <c r="B178">
        <v>48371471</v>
      </c>
      <c r="C178">
        <v>48371462</v>
      </c>
      <c r="D178">
        <v>37732214</v>
      </c>
      <c r="E178">
        <v>1</v>
      </c>
      <c r="F178">
        <v>1</v>
      </c>
      <c r="G178">
        <v>1</v>
      </c>
      <c r="H178">
        <v>3</v>
      </c>
      <c r="I178" t="s">
        <v>750</v>
      </c>
      <c r="J178" t="s">
        <v>751</v>
      </c>
      <c r="K178" t="s">
        <v>752</v>
      </c>
      <c r="L178">
        <v>1346</v>
      </c>
      <c r="N178">
        <v>1009</v>
      </c>
      <c r="O178" t="s">
        <v>172</v>
      </c>
      <c r="P178" t="s">
        <v>172</v>
      </c>
      <c r="Q178">
        <v>1</v>
      </c>
      <c r="X178">
        <v>0.8</v>
      </c>
      <c r="Y178">
        <v>13.56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230</v>
      </c>
      <c r="AG178">
        <v>0</v>
      </c>
      <c r="AH178">
        <v>2</v>
      </c>
      <c r="AI178">
        <v>48371471</v>
      </c>
      <c r="AJ178">
        <v>177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>
      <c r="A179">
        <f>ROW(Source!A91)</f>
        <v>91</v>
      </c>
      <c r="B179">
        <v>48371472</v>
      </c>
      <c r="C179">
        <v>48371462</v>
      </c>
      <c r="D179">
        <v>37730096</v>
      </c>
      <c r="E179">
        <v>1</v>
      </c>
      <c r="F179">
        <v>1</v>
      </c>
      <c r="G179">
        <v>1</v>
      </c>
      <c r="H179">
        <v>3</v>
      </c>
      <c r="I179" t="s">
        <v>732</v>
      </c>
      <c r="J179" t="s">
        <v>733</v>
      </c>
      <c r="K179" t="s">
        <v>734</v>
      </c>
      <c r="L179">
        <v>1346</v>
      </c>
      <c r="N179">
        <v>1009</v>
      </c>
      <c r="O179" t="s">
        <v>172</v>
      </c>
      <c r="P179" t="s">
        <v>172</v>
      </c>
      <c r="Q179">
        <v>1</v>
      </c>
      <c r="X179">
        <v>0.04</v>
      </c>
      <c r="Y179">
        <v>37.29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230</v>
      </c>
      <c r="AG179">
        <v>0</v>
      </c>
      <c r="AH179">
        <v>2</v>
      </c>
      <c r="AI179">
        <v>48371472</v>
      </c>
      <c r="AJ179">
        <v>178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>
      <c r="A180">
        <f>ROW(Source!A91)</f>
        <v>91</v>
      </c>
      <c r="B180">
        <v>48371473</v>
      </c>
      <c r="C180">
        <v>48371462</v>
      </c>
      <c r="D180">
        <v>37730022</v>
      </c>
      <c r="E180">
        <v>1</v>
      </c>
      <c r="F180">
        <v>1</v>
      </c>
      <c r="G180">
        <v>1</v>
      </c>
      <c r="H180">
        <v>3</v>
      </c>
      <c r="I180" t="s">
        <v>735</v>
      </c>
      <c r="J180" t="s">
        <v>736</v>
      </c>
      <c r="K180" t="s">
        <v>737</v>
      </c>
      <c r="L180">
        <v>1346</v>
      </c>
      <c r="N180">
        <v>1009</v>
      </c>
      <c r="O180" t="s">
        <v>172</v>
      </c>
      <c r="P180" t="s">
        <v>172</v>
      </c>
      <c r="Q180">
        <v>1</v>
      </c>
      <c r="X180">
        <v>4</v>
      </c>
      <c r="Y180">
        <v>9.61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230</v>
      </c>
      <c r="AG180">
        <v>0</v>
      </c>
      <c r="AH180">
        <v>2</v>
      </c>
      <c r="AI180">
        <v>48371473</v>
      </c>
      <c r="AJ180">
        <v>179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>
      <c r="A181">
        <f>ROW(Source!A91)</f>
        <v>91</v>
      </c>
      <c r="B181">
        <v>48371474</v>
      </c>
      <c r="C181">
        <v>48371462</v>
      </c>
      <c r="D181">
        <v>37737283</v>
      </c>
      <c r="E181">
        <v>1</v>
      </c>
      <c r="F181">
        <v>1</v>
      </c>
      <c r="G181">
        <v>1</v>
      </c>
      <c r="H181">
        <v>3</v>
      </c>
      <c r="I181" t="s">
        <v>753</v>
      </c>
      <c r="J181" t="s">
        <v>754</v>
      </c>
      <c r="K181" t="s">
        <v>755</v>
      </c>
      <c r="L181">
        <v>1348</v>
      </c>
      <c r="N181">
        <v>1009</v>
      </c>
      <c r="O181" t="s">
        <v>536</v>
      </c>
      <c r="P181" t="s">
        <v>536</v>
      </c>
      <c r="Q181">
        <v>1000</v>
      </c>
      <c r="X181">
        <v>5.0000000000000001E-4</v>
      </c>
      <c r="Y181">
        <v>12430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230</v>
      </c>
      <c r="AG181">
        <v>0</v>
      </c>
      <c r="AH181">
        <v>2</v>
      </c>
      <c r="AI181">
        <v>48371474</v>
      </c>
      <c r="AJ181">
        <v>180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>
      <c r="A182">
        <f>ROW(Source!A91)</f>
        <v>91</v>
      </c>
      <c r="B182">
        <v>48371475</v>
      </c>
      <c r="C182">
        <v>48371462</v>
      </c>
      <c r="D182">
        <v>37737064</v>
      </c>
      <c r="E182">
        <v>1</v>
      </c>
      <c r="F182">
        <v>1</v>
      </c>
      <c r="G182">
        <v>1</v>
      </c>
      <c r="H182">
        <v>3</v>
      </c>
      <c r="I182" t="s">
        <v>756</v>
      </c>
      <c r="J182" t="s">
        <v>757</v>
      </c>
      <c r="K182" t="s">
        <v>758</v>
      </c>
      <c r="L182">
        <v>1358</v>
      </c>
      <c r="N182">
        <v>1010</v>
      </c>
      <c r="O182" t="s">
        <v>278</v>
      </c>
      <c r="P182" t="s">
        <v>278</v>
      </c>
      <c r="Q182">
        <v>10</v>
      </c>
      <c r="X182">
        <v>4</v>
      </c>
      <c r="Y182">
        <v>1.8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230</v>
      </c>
      <c r="AG182">
        <v>0</v>
      </c>
      <c r="AH182">
        <v>2</v>
      </c>
      <c r="AI182">
        <v>48371475</v>
      </c>
      <c r="AJ182">
        <v>181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>
      <c r="A183">
        <f>ROW(Source!A91)</f>
        <v>91</v>
      </c>
      <c r="B183">
        <v>48371476</v>
      </c>
      <c r="C183">
        <v>48371462</v>
      </c>
      <c r="D183">
        <v>37744919</v>
      </c>
      <c r="E183">
        <v>1</v>
      </c>
      <c r="F183">
        <v>1</v>
      </c>
      <c r="G183">
        <v>1</v>
      </c>
      <c r="H183">
        <v>3</v>
      </c>
      <c r="I183" t="s">
        <v>759</v>
      </c>
      <c r="J183" t="s">
        <v>760</v>
      </c>
      <c r="K183" t="s">
        <v>761</v>
      </c>
      <c r="L183">
        <v>1348</v>
      </c>
      <c r="N183">
        <v>1009</v>
      </c>
      <c r="O183" t="s">
        <v>536</v>
      </c>
      <c r="P183" t="s">
        <v>536</v>
      </c>
      <c r="Q183">
        <v>1000</v>
      </c>
      <c r="X183">
        <v>8.0000000000000004E-4</v>
      </c>
      <c r="Y183">
        <v>12330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 t="s">
        <v>230</v>
      </c>
      <c r="AG183">
        <v>0</v>
      </c>
      <c r="AH183">
        <v>2</v>
      </c>
      <c r="AI183">
        <v>48371476</v>
      </c>
      <c r="AJ183">
        <v>182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>
      <c r="A184">
        <f>ROW(Source!A91)</f>
        <v>91</v>
      </c>
      <c r="B184">
        <v>48371477</v>
      </c>
      <c r="C184">
        <v>48371462</v>
      </c>
      <c r="D184">
        <v>37764492</v>
      </c>
      <c r="E184">
        <v>1</v>
      </c>
      <c r="F184">
        <v>1</v>
      </c>
      <c r="G184">
        <v>1</v>
      </c>
      <c r="H184">
        <v>3</v>
      </c>
      <c r="I184" t="s">
        <v>762</v>
      </c>
      <c r="J184" t="s">
        <v>763</v>
      </c>
      <c r="K184" t="s">
        <v>764</v>
      </c>
      <c r="L184">
        <v>1035</v>
      </c>
      <c r="N184">
        <v>1013</v>
      </c>
      <c r="O184" t="s">
        <v>255</v>
      </c>
      <c r="P184" t="s">
        <v>255</v>
      </c>
      <c r="Q184">
        <v>1</v>
      </c>
      <c r="X184">
        <v>10</v>
      </c>
      <c r="Y184">
        <v>523.5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230</v>
      </c>
      <c r="AG184">
        <v>0</v>
      </c>
      <c r="AH184">
        <v>2</v>
      </c>
      <c r="AI184">
        <v>48371477</v>
      </c>
      <c r="AJ184">
        <v>183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>
      <c r="A185">
        <f>ROW(Source!A91)</f>
        <v>91</v>
      </c>
      <c r="B185">
        <v>48371478</v>
      </c>
      <c r="C185">
        <v>48371462</v>
      </c>
      <c r="D185">
        <v>37794860</v>
      </c>
      <c r="E185">
        <v>1</v>
      </c>
      <c r="F185">
        <v>1</v>
      </c>
      <c r="G185">
        <v>1</v>
      </c>
      <c r="H185">
        <v>3</v>
      </c>
      <c r="I185" t="s">
        <v>765</v>
      </c>
      <c r="J185" t="s">
        <v>766</v>
      </c>
      <c r="K185" t="s">
        <v>767</v>
      </c>
      <c r="L185">
        <v>1346</v>
      </c>
      <c r="N185">
        <v>1009</v>
      </c>
      <c r="O185" t="s">
        <v>172</v>
      </c>
      <c r="P185" t="s">
        <v>172</v>
      </c>
      <c r="Q185">
        <v>1</v>
      </c>
      <c r="X185">
        <v>20</v>
      </c>
      <c r="Y185">
        <v>6.6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230</v>
      </c>
      <c r="AG185">
        <v>0</v>
      </c>
      <c r="AH185">
        <v>2</v>
      </c>
      <c r="AI185">
        <v>48371478</v>
      </c>
      <c r="AJ185">
        <v>184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>
      <c r="A186">
        <f>ROW(Source!A92)</f>
        <v>92</v>
      </c>
      <c r="B186">
        <v>48371580</v>
      </c>
      <c r="C186">
        <v>48371579</v>
      </c>
      <c r="D186">
        <v>23136905</v>
      </c>
      <c r="E186">
        <v>1</v>
      </c>
      <c r="F186">
        <v>1</v>
      </c>
      <c r="G186">
        <v>1</v>
      </c>
      <c r="H186">
        <v>1</v>
      </c>
      <c r="I186" t="s">
        <v>648</v>
      </c>
      <c r="J186" t="s">
        <v>3</v>
      </c>
      <c r="K186" t="s">
        <v>649</v>
      </c>
      <c r="L186">
        <v>1369</v>
      </c>
      <c r="N186">
        <v>1013</v>
      </c>
      <c r="O186" t="s">
        <v>510</v>
      </c>
      <c r="P186" t="s">
        <v>510</v>
      </c>
      <c r="Q186">
        <v>1</v>
      </c>
      <c r="X186">
        <v>104.28</v>
      </c>
      <c r="Y186">
        <v>0</v>
      </c>
      <c r="Z186">
        <v>0</v>
      </c>
      <c r="AA186">
        <v>0</v>
      </c>
      <c r="AB186">
        <v>8.58</v>
      </c>
      <c r="AC186">
        <v>0</v>
      </c>
      <c r="AD186">
        <v>1</v>
      </c>
      <c r="AE186">
        <v>1</v>
      </c>
      <c r="AF186" t="s">
        <v>161</v>
      </c>
      <c r="AG186">
        <v>119.922</v>
      </c>
      <c r="AH186">
        <v>2</v>
      </c>
      <c r="AI186">
        <v>48371580</v>
      </c>
      <c r="AJ186">
        <v>185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>
      <c r="A187">
        <f>ROW(Source!A92)</f>
        <v>92</v>
      </c>
      <c r="B187">
        <v>48371581</v>
      </c>
      <c r="C187">
        <v>48371579</v>
      </c>
      <c r="D187">
        <v>121548</v>
      </c>
      <c r="E187">
        <v>1</v>
      </c>
      <c r="F187">
        <v>1</v>
      </c>
      <c r="G187">
        <v>1</v>
      </c>
      <c r="H187">
        <v>1</v>
      </c>
      <c r="I187" t="s">
        <v>24</v>
      </c>
      <c r="J187" t="s">
        <v>3</v>
      </c>
      <c r="K187" t="s">
        <v>511</v>
      </c>
      <c r="L187">
        <v>608254</v>
      </c>
      <c r="N187">
        <v>1013</v>
      </c>
      <c r="O187" t="s">
        <v>512</v>
      </c>
      <c r="P187" t="s">
        <v>512</v>
      </c>
      <c r="Q187">
        <v>1</v>
      </c>
      <c r="X187">
        <v>11.35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2</v>
      </c>
      <c r="AF187" t="s">
        <v>160</v>
      </c>
      <c r="AG187">
        <v>14.1875</v>
      </c>
      <c r="AH187">
        <v>2</v>
      </c>
      <c r="AI187">
        <v>48371581</v>
      </c>
      <c r="AJ187">
        <v>186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>
      <c r="A188">
        <f>ROW(Source!A92)</f>
        <v>92</v>
      </c>
      <c r="B188">
        <v>48371582</v>
      </c>
      <c r="C188">
        <v>48371579</v>
      </c>
      <c r="D188">
        <v>37802359</v>
      </c>
      <c r="E188">
        <v>1</v>
      </c>
      <c r="F188">
        <v>1</v>
      </c>
      <c r="G188">
        <v>1</v>
      </c>
      <c r="H188">
        <v>2</v>
      </c>
      <c r="I188" t="s">
        <v>583</v>
      </c>
      <c r="J188" t="s">
        <v>584</v>
      </c>
      <c r="K188" t="s">
        <v>585</v>
      </c>
      <c r="L188">
        <v>1368</v>
      </c>
      <c r="N188">
        <v>1011</v>
      </c>
      <c r="O188" t="s">
        <v>516</v>
      </c>
      <c r="P188" t="s">
        <v>516</v>
      </c>
      <c r="Q188">
        <v>1</v>
      </c>
      <c r="X188">
        <v>9.69</v>
      </c>
      <c r="Y188">
        <v>0</v>
      </c>
      <c r="Z188">
        <v>103.49</v>
      </c>
      <c r="AA188">
        <v>12.1</v>
      </c>
      <c r="AB188">
        <v>0</v>
      </c>
      <c r="AC188">
        <v>0</v>
      </c>
      <c r="AD188">
        <v>1</v>
      </c>
      <c r="AE188">
        <v>0</v>
      </c>
      <c r="AF188" t="s">
        <v>160</v>
      </c>
      <c r="AG188">
        <v>12.112499999999999</v>
      </c>
      <c r="AH188">
        <v>2</v>
      </c>
      <c r="AI188">
        <v>48371582</v>
      </c>
      <c r="AJ188">
        <v>187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>
      <c r="A189">
        <f>ROW(Source!A92)</f>
        <v>92</v>
      </c>
      <c r="B189">
        <v>48371583</v>
      </c>
      <c r="C189">
        <v>48371579</v>
      </c>
      <c r="D189">
        <v>37802443</v>
      </c>
      <c r="E189">
        <v>1</v>
      </c>
      <c r="F189">
        <v>1</v>
      </c>
      <c r="G189">
        <v>1</v>
      </c>
      <c r="H189">
        <v>2</v>
      </c>
      <c r="I189" t="s">
        <v>586</v>
      </c>
      <c r="J189" t="s">
        <v>587</v>
      </c>
      <c r="K189" t="s">
        <v>588</v>
      </c>
      <c r="L189">
        <v>1368</v>
      </c>
      <c r="N189">
        <v>1011</v>
      </c>
      <c r="O189" t="s">
        <v>516</v>
      </c>
      <c r="P189" t="s">
        <v>516</v>
      </c>
      <c r="Q189">
        <v>1</v>
      </c>
      <c r="X189">
        <v>1.66</v>
      </c>
      <c r="Y189">
        <v>0</v>
      </c>
      <c r="Z189">
        <v>124.14</v>
      </c>
      <c r="AA189">
        <v>12.1</v>
      </c>
      <c r="AB189">
        <v>0</v>
      </c>
      <c r="AC189">
        <v>0</v>
      </c>
      <c r="AD189">
        <v>1</v>
      </c>
      <c r="AE189">
        <v>0</v>
      </c>
      <c r="AF189" t="s">
        <v>160</v>
      </c>
      <c r="AG189">
        <v>2.0749999999999997</v>
      </c>
      <c r="AH189">
        <v>2</v>
      </c>
      <c r="AI189">
        <v>48371583</v>
      </c>
      <c r="AJ189">
        <v>188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>
      <c r="A190">
        <f>ROW(Source!A92)</f>
        <v>92</v>
      </c>
      <c r="B190">
        <v>48371584</v>
      </c>
      <c r="C190">
        <v>48371579</v>
      </c>
      <c r="D190">
        <v>37803075</v>
      </c>
      <c r="E190">
        <v>1</v>
      </c>
      <c r="F190">
        <v>1</v>
      </c>
      <c r="G190">
        <v>1</v>
      </c>
      <c r="H190">
        <v>2</v>
      </c>
      <c r="I190" t="s">
        <v>768</v>
      </c>
      <c r="J190" t="s">
        <v>769</v>
      </c>
      <c r="K190" t="s">
        <v>770</v>
      </c>
      <c r="L190">
        <v>1368</v>
      </c>
      <c r="N190">
        <v>1011</v>
      </c>
      <c r="O190" t="s">
        <v>516</v>
      </c>
      <c r="P190" t="s">
        <v>516</v>
      </c>
      <c r="Q190">
        <v>1</v>
      </c>
      <c r="X190">
        <v>1.79</v>
      </c>
      <c r="Y190">
        <v>0</v>
      </c>
      <c r="Z190">
        <v>33.19</v>
      </c>
      <c r="AA190">
        <v>0</v>
      </c>
      <c r="AB190">
        <v>0</v>
      </c>
      <c r="AC190">
        <v>0</v>
      </c>
      <c r="AD190">
        <v>1</v>
      </c>
      <c r="AE190">
        <v>0</v>
      </c>
      <c r="AF190" t="s">
        <v>160</v>
      </c>
      <c r="AG190">
        <v>2.2374999999999998</v>
      </c>
      <c r="AH190">
        <v>2</v>
      </c>
      <c r="AI190">
        <v>48371584</v>
      </c>
      <c r="AJ190">
        <v>189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>
      <c r="A191">
        <f>ROW(Source!A92)</f>
        <v>92</v>
      </c>
      <c r="B191">
        <v>48371585</v>
      </c>
      <c r="C191">
        <v>48371579</v>
      </c>
      <c r="D191">
        <v>37804456</v>
      </c>
      <c r="E191">
        <v>1</v>
      </c>
      <c r="F191">
        <v>1</v>
      </c>
      <c r="G191">
        <v>1</v>
      </c>
      <c r="H191">
        <v>2</v>
      </c>
      <c r="I191" t="s">
        <v>530</v>
      </c>
      <c r="J191" t="s">
        <v>531</v>
      </c>
      <c r="K191" t="s">
        <v>532</v>
      </c>
      <c r="L191">
        <v>1368</v>
      </c>
      <c r="N191">
        <v>1011</v>
      </c>
      <c r="O191" t="s">
        <v>516</v>
      </c>
      <c r="P191" t="s">
        <v>516</v>
      </c>
      <c r="Q191">
        <v>1</v>
      </c>
      <c r="X191">
        <v>1.99</v>
      </c>
      <c r="Y191">
        <v>0</v>
      </c>
      <c r="Z191">
        <v>91.76</v>
      </c>
      <c r="AA191">
        <v>10.35</v>
      </c>
      <c r="AB191">
        <v>0</v>
      </c>
      <c r="AC191">
        <v>0</v>
      </c>
      <c r="AD191">
        <v>1</v>
      </c>
      <c r="AE191">
        <v>0</v>
      </c>
      <c r="AF191" t="s">
        <v>160</v>
      </c>
      <c r="AG191">
        <v>2.4874999999999998</v>
      </c>
      <c r="AH191">
        <v>2</v>
      </c>
      <c r="AI191">
        <v>48371585</v>
      </c>
      <c r="AJ191">
        <v>190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>
      <c r="A192">
        <f>ROW(Source!A92)</f>
        <v>92</v>
      </c>
      <c r="B192">
        <v>48371586</v>
      </c>
      <c r="C192">
        <v>48371579</v>
      </c>
      <c r="D192">
        <v>37736992</v>
      </c>
      <c r="E192">
        <v>1</v>
      </c>
      <c r="F192">
        <v>1</v>
      </c>
      <c r="G192">
        <v>1</v>
      </c>
      <c r="H192">
        <v>3</v>
      </c>
      <c r="I192" t="s">
        <v>771</v>
      </c>
      <c r="J192" t="s">
        <v>772</v>
      </c>
      <c r="K192" t="s">
        <v>773</v>
      </c>
      <c r="L192">
        <v>1348</v>
      </c>
      <c r="N192">
        <v>1009</v>
      </c>
      <c r="O192" t="s">
        <v>536</v>
      </c>
      <c r="P192" t="s">
        <v>536</v>
      </c>
      <c r="Q192">
        <v>1000</v>
      </c>
      <c r="X192">
        <v>2.0999999999999999E-3</v>
      </c>
      <c r="Y192">
        <v>9167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3</v>
      </c>
      <c r="AG192">
        <v>2.0999999999999999E-3</v>
      </c>
      <c r="AH192">
        <v>2</v>
      </c>
      <c r="AI192">
        <v>48371586</v>
      </c>
      <c r="AJ192">
        <v>191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>
      <c r="A193">
        <f>ROW(Source!A92)</f>
        <v>92</v>
      </c>
      <c r="B193">
        <v>48371587</v>
      </c>
      <c r="C193">
        <v>48371579</v>
      </c>
      <c r="D193">
        <v>37734130</v>
      </c>
      <c r="E193">
        <v>1</v>
      </c>
      <c r="F193">
        <v>1</v>
      </c>
      <c r="G193">
        <v>1</v>
      </c>
      <c r="H193">
        <v>3</v>
      </c>
      <c r="I193" t="s">
        <v>774</v>
      </c>
      <c r="J193" t="s">
        <v>775</v>
      </c>
      <c r="K193" t="s">
        <v>776</v>
      </c>
      <c r="L193">
        <v>1348</v>
      </c>
      <c r="N193">
        <v>1009</v>
      </c>
      <c r="O193" t="s">
        <v>536</v>
      </c>
      <c r="P193" t="s">
        <v>536</v>
      </c>
      <c r="Q193">
        <v>1000</v>
      </c>
      <c r="X193">
        <v>2.3599999999999999E-2</v>
      </c>
      <c r="Y193">
        <v>1695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F193" t="s">
        <v>3</v>
      </c>
      <c r="AG193">
        <v>2.3599999999999999E-2</v>
      </c>
      <c r="AH193">
        <v>2</v>
      </c>
      <c r="AI193">
        <v>48371587</v>
      </c>
      <c r="AJ193">
        <v>192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>
      <c r="A194">
        <f>ROW(Source!A92)</f>
        <v>92</v>
      </c>
      <c r="B194">
        <v>48371588</v>
      </c>
      <c r="C194">
        <v>48371579</v>
      </c>
      <c r="D194">
        <v>37731351</v>
      </c>
      <c r="E194">
        <v>1</v>
      </c>
      <c r="F194">
        <v>1</v>
      </c>
      <c r="G194">
        <v>1</v>
      </c>
      <c r="H194">
        <v>3</v>
      </c>
      <c r="I194" t="s">
        <v>777</v>
      </c>
      <c r="J194" t="s">
        <v>778</v>
      </c>
      <c r="K194" t="s">
        <v>779</v>
      </c>
      <c r="L194">
        <v>1327</v>
      </c>
      <c r="N194">
        <v>1005</v>
      </c>
      <c r="O194" t="s">
        <v>189</v>
      </c>
      <c r="P194" t="s">
        <v>189</v>
      </c>
      <c r="Q194">
        <v>1</v>
      </c>
      <c r="X194">
        <v>89</v>
      </c>
      <c r="Y194">
        <v>5.82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F194" t="s">
        <v>3</v>
      </c>
      <c r="AG194">
        <v>89</v>
      </c>
      <c r="AH194">
        <v>2</v>
      </c>
      <c r="AI194">
        <v>48371588</v>
      </c>
      <c r="AJ194">
        <v>193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>
      <c r="A195">
        <f>ROW(Source!A92)</f>
        <v>92</v>
      </c>
      <c r="B195">
        <v>48371589</v>
      </c>
      <c r="C195">
        <v>48371579</v>
      </c>
      <c r="D195">
        <v>37735313</v>
      </c>
      <c r="E195">
        <v>1</v>
      </c>
      <c r="F195">
        <v>1</v>
      </c>
      <c r="G195">
        <v>1</v>
      </c>
      <c r="H195">
        <v>3</v>
      </c>
      <c r="I195" t="s">
        <v>780</v>
      </c>
      <c r="J195" t="s">
        <v>781</v>
      </c>
      <c r="K195" t="s">
        <v>782</v>
      </c>
      <c r="L195">
        <v>1346</v>
      </c>
      <c r="N195">
        <v>1009</v>
      </c>
      <c r="O195" t="s">
        <v>172</v>
      </c>
      <c r="P195" t="s">
        <v>172</v>
      </c>
      <c r="Q195">
        <v>1</v>
      </c>
      <c r="X195">
        <v>37.5</v>
      </c>
      <c r="Y195">
        <v>10.41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F195" t="s">
        <v>3</v>
      </c>
      <c r="AG195">
        <v>37.5</v>
      </c>
      <c r="AH195">
        <v>2</v>
      </c>
      <c r="AI195">
        <v>48371589</v>
      </c>
      <c r="AJ195">
        <v>194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>
      <c r="A196">
        <f>ROW(Source!A92)</f>
        <v>92</v>
      </c>
      <c r="B196">
        <v>48371590</v>
      </c>
      <c r="C196">
        <v>48371579</v>
      </c>
      <c r="D196">
        <v>37736933</v>
      </c>
      <c r="E196">
        <v>1</v>
      </c>
      <c r="F196">
        <v>1</v>
      </c>
      <c r="G196">
        <v>1</v>
      </c>
      <c r="H196">
        <v>3</v>
      </c>
      <c r="I196" t="s">
        <v>783</v>
      </c>
      <c r="J196" t="s">
        <v>784</v>
      </c>
      <c r="K196" t="s">
        <v>785</v>
      </c>
      <c r="L196">
        <v>1348</v>
      </c>
      <c r="N196">
        <v>1009</v>
      </c>
      <c r="O196" t="s">
        <v>536</v>
      </c>
      <c r="P196" t="s">
        <v>536</v>
      </c>
      <c r="Q196">
        <v>1000</v>
      </c>
      <c r="X196">
        <v>4.13E-3</v>
      </c>
      <c r="Y196">
        <v>12936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F196" t="s">
        <v>3</v>
      </c>
      <c r="AG196">
        <v>4.13E-3</v>
      </c>
      <c r="AH196">
        <v>2</v>
      </c>
      <c r="AI196">
        <v>48371590</v>
      </c>
      <c r="AJ196">
        <v>195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>
      <c r="A197">
        <f>ROW(Source!A92)</f>
        <v>92</v>
      </c>
      <c r="B197">
        <v>48371591</v>
      </c>
      <c r="C197">
        <v>48371579</v>
      </c>
      <c r="D197">
        <v>37730106</v>
      </c>
      <c r="E197">
        <v>1</v>
      </c>
      <c r="F197">
        <v>1</v>
      </c>
      <c r="G197">
        <v>1</v>
      </c>
      <c r="H197">
        <v>3</v>
      </c>
      <c r="I197" t="s">
        <v>786</v>
      </c>
      <c r="J197" t="s">
        <v>787</v>
      </c>
      <c r="K197" t="s">
        <v>788</v>
      </c>
      <c r="L197">
        <v>1296</v>
      </c>
      <c r="N197">
        <v>1002</v>
      </c>
      <c r="O197" t="s">
        <v>789</v>
      </c>
      <c r="P197" t="s">
        <v>789</v>
      </c>
      <c r="Q197">
        <v>1</v>
      </c>
      <c r="X197">
        <v>32.4</v>
      </c>
      <c r="Y197">
        <v>47.56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3</v>
      </c>
      <c r="AG197">
        <v>32.4</v>
      </c>
      <c r="AH197">
        <v>2</v>
      </c>
      <c r="AI197">
        <v>48371591</v>
      </c>
      <c r="AJ197">
        <v>196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>
      <c r="A198">
        <f>ROW(Source!A92)</f>
        <v>92</v>
      </c>
      <c r="B198">
        <v>48371592</v>
      </c>
      <c r="C198">
        <v>48371579</v>
      </c>
      <c r="D198">
        <v>37737435</v>
      </c>
      <c r="E198">
        <v>1</v>
      </c>
      <c r="F198">
        <v>1</v>
      </c>
      <c r="G198">
        <v>1</v>
      </c>
      <c r="H198">
        <v>3</v>
      </c>
      <c r="I198" t="s">
        <v>790</v>
      </c>
      <c r="J198" t="s">
        <v>791</v>
      </c>
      <c r="K198" t="s">
        <v>792</v>
      </c>
      <c r="L198">
        <v>1035</v>
      </c>
      <c r="N198">
        <v>1013</v>
      </c>
      <c r="O198" t="s">
        <v>255</v>
      </c>
      <c r="P198" t="s">
        <v>255</v>
      </c>
      <c r="Q198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1</v>
      </c>
      <c r="AD198">
        <v>0</v>
      </c>
      <c r="AE198">
        <v>0</v>
      </c>
      <c r="AF198" t="s">
        <v>3</v>
      </c>
      <c r="AG198">
        <v>0</v>
      </c>
      <c r="AH198">
        <v>2</v>
      </c>
      <c r="AI198">
        <v>48371592</v>
      </c>
      <c r="AJ198">
        <v>197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>
      <c r="A199">
        <f>ROW(Source!A92)</f>
        <v>92</v>
      </c>
      <c r="B199">
        <v>48371593</v>
      </c>
      <c r="C199">
        <v>48371579</v>
      </c>
      <c r="D199">
        <v>37738205</v>
      </c>
      <c r="E199">
        <v>1</v>
      </c>
      <c r="F199">
        <v>1</v>
      </c>
      <c r="G199">
        <v>1</v>
      </c>
      <c r="H199">
        <v>3</v>
      </c>
      <c r="I199" t="s">
        <v>793</v>
      </c>
      <c r="J199" t="s">
        <v>794</v>
      </c>
      <c r="K199" t="s">
        <v>795</v>
      </c>
      <c r="L199">
        <v>1339</v>
      </c>
      <c r="N199">
        <v>1007</v>
      </c>
      <c r="O199" t="s">
        <v>543</v>
      </c>
      <c r="P199" t="s">
        <v>543</v>
      </c>
      <c r="Q199">
        <v>1</v>
      </c>
      <c r="X199">
        <v>0.08</v>
      </c>
      <c r="Y199">
        <v>919.99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 t="s">
        <v>3</v>
      </c>
      <c r="AG199">
        <v>0.08</v>
      </c>
      <c r="AH199">
        <v>2</v>
      </c>
      <c r="AI199">
        <v>48371593</v>
      </c>
      <c r="AJ199">
        <v>198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>
      <c r="A200">
        <f>ROW(Source!A92)</f>
        <v>92</v>
      </c>
      <c r="B200">
        <v>48371594</v>
      </c>
      <c r="C200">
        <v>48371579</v>
      </c>
      <c r="D200">
        <v>37752537</v>
      </c>
      <c r="E200">
        <v>1</v>
      </c>
      <c r="F200">
        <v>1</v>
      </c>
      <c r="G200">
        <v>1</v>
      </c>
      <c r="H200">
        <v>3</v>
      </c>
      <c r="I200" t="s">
        <v>245</v>
      </c>
      <c r="J200" t="s">
        <v>247</v>
      </c>
      <c r="K200" t="s">
        <v>246</v>
      </c>
      <c r="L200">
        <v>1327</v>
      </c>
      <c r="N200">
        <v>1005</v>
      </c>
      <c r="O200" t="s">
        <v>189</v>
      </c>
      <c r="P200" t="s">
        <v>189</v>
      </c>
      <c r="Q200">
        <v>1</v>
      </c>
      <c r="X200">
        <v>100</v>
      </c>
      <c r="Y200">
        <v>208.29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F200" t="s">
        <v>3</v>
      </c>
      <c r="AG200">
        <v>100</v>
      </c>
      <c r="AH200">
        <v>2</v>
      </c>
      <c r="AI200">
        <v>48371594</v>
      </c>
      <c r="AJ200">
        <v>199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>
      <c r="A201">
        <f>ROW(Source!A92)</f>
        <v>92</v>
      </c>
      <c r="B201">
        <v>48371595</v>
      </c>
      <c r="C201">
        <v>48371579</v>
      </c>
      <c r="D201">
        <v>37768070</v>
      </c>
      <c r="E201">
        <v>1</v>
      </c>
      <c r="F201">
        <v>1</v>
      </c>
      <c r="G201">
        <v>1</v>
      </c>
      <c r="H201">
        <v>3</v>
      </c>
      <c r="I201" t="s">
        <v>796</v>
      </c>
      <c r="J201" t="s">
        <v>797</v>
      </c>
      <c r="K201" t="s">
        <v>798</v>
      </c>
      <c r="L201">
        <v>1339</v>
      </c>
      <c r="N201">
        <v>1007</v>
      </c>
      <c r="O201" t="s">
        <v>543</v>
      </c>
      <c r="P201" t="s">
        <v>543</v>
      </c>
      <c r="Q201">
        <v>1</v>
      </c>
      <c r="X201">
        <v>0.105</v>
      </c>
      <c r="Y201">
        <v>360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3</v>
      </c>
      <c r="AG201">
        <v>0.105</v>
      </c>
      <c r="AH201">
        <v>2</v>
      </c>
      <c r="AI201">
        <v>48371595</v>
      </c>
      <c r="AJ201">
        <v>200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>
      <c r="A202">
        <f>ROW(Source!A92)</f>
        <v>92</v>
      </c>
      <c r="B202">
        <v>48371596</v>
      </c>
      <c r="C202">
        <v>48371579</v>
      </c>
      <c r="D202">
        <v>37777026</v>
      </c>
      <c r="E202">
        <v>1</v>
      </c>
      <c r="F202">
        <v>1</v>
      </c>
      <c r="G202">
        <v>1</v>
      </c>
      <c r="H202">
        <v>3</v>
      </c>
      <c r="I202" t="s">
        <v>645</v>
      </c>
      <c r="J202" t="s">
        <v>646</v>
      </c>
      <c r="K202" t="s">
        <v>647</v>
      </c>
      <c r="L202">
        <v>1348</v>
      </c>
      <c r="N202">
        <v>1009</v>
      </c>
      <c r="O202" t="s">
        <v>536</v>
      </c>
      <c r="P202" t="s">
        <v>536</v>
      </c>
      <c r="Q202">
        <v>1000</v>
      </c>
      <c r="X202">
        <v>1.6E-2</v>
      </c>
      <c r="Y202">
        <v>729.98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3</v>
      </c>
      <c r="AG202">
        <v>1.6E-2</v>
      </c>
      <c r="AH202">
        <v>2</v>
      </c>
      <c r="AI202">
        <v>48371596</v>
      </c>
      <c r="AJ202">
        <v>201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>
      <c r="A203">
        <f>ROW(Source!A96)</f>
        <v>96</v>
      </c>
      <c r="B203">
        <v>48371620</v>
      </c>
      <c r="C203">
        <v>48371619</v>
      </c>
      <c r="D203">
        <v>23131263</v>
      </c>
      <c r="E203">
        <v>1</v>
      </c>
      <c r="F203">
        <v>1</v>
      </c>
      <c r="G203">
        <v>1</v>
      </c>
      <c r="H203">
        <v>1</v>
      </c>
      <c r="I203" t="s">
        <v>799</v>
      </c>
      <c r="J203" t="s">
        <v>3</v>
      </c>
      <c r="K203" t="s">
        <v>800</v>
      </c>
      <c r="L203">
        <v>1369</v>
      </c>
      <c r="N203">
        <v>1013</v>
      </c>
      <c r="O203" t="s">
        <v>510</v>
      </c>
      <c r="P203" t="s">
        <v>510</v>
      </c>
      <c r="Q203">
        <v>1</v>
      </c>
      <c r="X203">
        <v>7.82</v>
      </c>
      <c r="Y203">
        <v>0</v>
      </c>
      <c r="Z203">
        <v>0</v>
      </c>
      <c r="AA203">
        <v>0</v>
      </c>
      <c r="AB203">
        <v>7.63</v>
      </c>
      <c r="AC203">
        <v>0</v>
      </c>
      <c r="AD203">
        <v>1</v>
      </c>
      <c r="AE203">
        <v>1</v>
      </c>
      <c r="AF203" t="s">
        <v>161</v>
      </c>
      <c r="AG203">
        <v>8.9930000000000003</v>
      </c>
      <c r="AH203">
        <v>2</v>
      </c>
      <c r="AI203">
        <v>48371620</v>
      </c>
      <c r="AJ203">
        <v>202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>
      <c r="A204">
        <f>ROW(Source!A96)</f>
        <v>96</v>
      </c>
      <c r="B204">
        <v>48371621</v>
      </c>
      <c r="C204">
        <v>48371619</v>
      </c>
      <c r="D204">
        <v>37804456</v>
      </c>
      <c r="E204">
        <v>1</v>
      </c>
      <c r="F204">
        <v>1</v>
      </c>
      <c r="G204">
        <v>1</v>
      </c>
      <c r="H204">
        <v>2</v>
      </c>
      <c r="I204" t="s">
        <v>530</v>
      </c>
      <c r="J204" t="s">
        <v>531</v>
      </c>
      <c r="K204" t="s">
        <v>532</v>
      </c>
      <c r="L204">
        <v>1368</v>
      </c>
      <c r="N204">
        <v>1011</v>
      </c>
      <c r="O204" t="s">
        <v>516</v>
      </c>
      <c r="P204" t="s">
        <v>516</v>
      </c>
      <c r="Q204">
        <v>1</v>
      </c>
      <c r="X204">
        <v>0.04</v>
      </c>
      <c r="Y204">
        <v>0</v>
      </c>
      <c r="Z204">
        <v>91.76</v>
      </c>
      <c r="AA204">
        <v>10.35</v>
      </c>
      <c r="AB204">
        <v>0</v>
      </c>
      <c r="AC204">
        <v>0</v>
      </c>
      <c r="AD204">
        <v>1</v>
      </c>
      <c r="AE204">
        <v>0</v>
      </c>
      <c r="AF204" t="s">
        <v>160</v>
      </c>
      <c r="AG204">
        <v>0.05</v>
      </c>
      <c r="AH204">
        <v>2</v>
      </c>
      <c r="AI204">
        <v>48371621</v>
      </c>
      <c r="AJ204">
        <v>203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>
      <c r="A205">
        <f>ROW(Source!A96)</f>
        <v>96</v>
      </c>
      <c r="B205">
        <v>48371622</v>
      </c>
      <c r="C205">
        <v>48371619</v>
      </c>
      <c r="D205">
        <v>37736933</v>
      </c>
      <c r="E205">
        <v>1</v>
      </c>
      <c r="F205">
        <v>1</v>
      </c>
      <c r="G205">
        <v>1</v>
      </c>
      <c r="H205">
        <v>3</v>
      </c>
      <c r="I205" t="s">
        <v>783</v>
      </c>
      <c r="J205" t="s">
        <v>784</v>
      </c>
      <c r="K205" t="s">
        <v>785</v>
      </c>
      <c r="L205">
        <v>1348</v>
      </c>
      <c r="N205">
        <v>1009</v>
      </c>
      <c r="O205" t="s">
        <v>536</v>
      </c>
      <c r="P205" t="s">
        <v>536</v>
      </c>
      <c r="Q205">
        <v>1000</v>
      </c>
      <c r="X205">
        <v>7.1000000000000002E-4</v>
      </c>
      <c r="Y205">
        <v>12936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 t="s">
        <v>3</v>
      </c>
      <c r="AG205">
        <v>7.1000000000000002E-4</v>
      </c>
      <c r="AH205">
        <v>2</v>
      </c>
      <c r="AI205">
        <v>48371622</v>
      </c>
      <c r="AJ205">
        <v>204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>
      <c r="A206">
        <f>ROW(Source!A96)</f>
        <v>96</v>
      </c>
      <c r="B206">
        <v>48371623</v>
      </c>
      <c r="C206">
        <v>48371619</v>
      </c>
      <c r="D206">
        <v>37752953</v>
      </c>
      <c r="E206">
        <v>1</v>
      </c>
      <c r="F206">
        <v>1</v>
      </c>
      <c r="G206">
        <v>1</v>
      </c>
      <c r="H206">
        <v>3</v>
      </c>
      <c r="I206" t="s">
        <v>801</v>
      </c>
      <c r="J206" t="s">
        <v>802</v>
      </c>
      <c r="K206" t="s">
        <v>803</v>
      </c>
      <c r="L206">
        <v>1301</v>
      </c>
      <c r="N206">
        <v>1003</v>
      </c>
      <c r="O206" t="s">
        <v>208</v>
      </c>
      <c r="P206" t="s">
        <v>208</v>
      </c>
      <c r="Q206">
        <v>1</v>
      </c>
      <c r="X206">
        <v>112</v>
      </c>
      <c r="Y206">
        <v>3.96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3</v>
      </c>
      <c r="AG206">
        <v>112</v>
      </c>
      <c r="AH206">
        <v>2</v>
      </c>
      <c r="AI206">
        <v>48371623</v>
      </c>
      <c r="AJ206">
        <v>205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>
      <c r="A207">
        <f>ROW(Source!A97)</f>
        <v>97</v>
      </c>
      <c r="B207">
        <v>48371633</v>
      </c>
      <c r="C207">
        <v>48371632</v>
      </c>
      <c r="D207">
        <v>23146426</v>
      </c>
      <c r="E207">
        <v>1</v>
      </c>
      <c r="F207">
        <v>1</v>
      </c>
      <c r="G207">
        <v>1</v>
      </c>
      <c r="H207">
        <v>1</v>
      </c>
      <c r="I207" t="s">
        <v>569</v>
      </c>
      <c r="J207" t="s">
        <v>3</v>
      </c>
      <c r="K207" t="s">
        <v>570</v>
      </c>
      <c r="L207">
        <v>1369</v>
      </c>
      <c r="N207">
        <v>1013</v>
      </c>
      <c r="O207" t="s">
        <v>510</v>
      </c>
      <c r="P207" t="s">
        <v>510</v>
      </c>
      <c r="Q207">
        <v>1</v>
      </c>
      <c r="X207">
        <v>1.1100000000000001</v>
      </c>
      <c r="Y207">
        <v>0</v>
      </c>
      <c r="Z207">
        <v>0</v>
      </c>
      <c r="AA207">
        <v>0</v>
      </c>
      <c r="AB207">
        <v>9.27</v>
      </c>
      <c r="AC207">
        <v>0</v>
      </c>
      <c r="AD207">
        <v>1</v>
      </c>
      <c r="AE207">
        <v>1</v>
      </c>
      <c r="AF207" t="s">
        <v>161</v>
      </c>
      <c r="AG207">
        <v>1.2765</v>
      </c>
      <c r="AH207">
        <v>2</v>
      </c>
      <c r="AI207">
        <v>48371633</v>
      </c>
      <c r="AJ207">
        <v>206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>
      <c r="A208">
        <f>ROW(Source!A97)</f>
        <v>97</v>
      </c>
      <c r="B208">
        <v>48371634</v>
      </c>
      <c r="C208">
        <v>48371632</v>
      </c>
      <c r="D208">
        <v>37802657</v>
      </c>
      <c r="E208">
        <v>1</v>
      </c>
      <c r="F208">
        <v>1</v>
      </c>
      <c r="G208">
        <v>1</v>
      </c>
      <c r="H208">
        <v>2</v>
      </c>
      <c r="I208" t="s">
        <v>527</v>
      </c>
      <c r="J208" t="s">
        <v>528</v>
      </c>
      <c r="K208" t="s">
        <v>529</v>
      </c>
      <c r="L208">
        <v>1368</v>
      </c>
      <c r="N208">
        <v>1011</v>
      </c>
      <c r="O208" t="s">
        <v>516</v>
      </c>
      <c r="P208" t="s">
        <v>516</v>
      </c>
      <c r="Q208">
        <v>1</v>
      </c>
      <c r="X208">
        <v>0.26</v>
      </c>
      <c r="Y208">
        <v>0</v>
      </c>
      <c r="Z208">
        <v>7.55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160</v>
      </c>
      <c r="AG208">
        <v>0.32500000000000001</v>
      </c>
      <c r="AH208">
        <v>2</v>
      </c>
      <c r="AI208">
        <v>48371634</v>
      </c>
      <c r="AJ208">
        <v>207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>
      <c r="A209">
        <f>ROW(Source!A97)</f>
        <v>97</v>
      </c>
      <c r="B209">
        <v>48371635</v>
      </c>
      <c r="C209">
        <v>48371632</v>
      </c>
      <c r="D209">
        <v>37803303</v>
      </c>
      <c r="E209">
        <v>1</v>
      </c>
      <c r="F209">
        <v>1</v>
      </c>
      <c r="G209">
        <v>1</v>
      </c>
      <c r="H209">
        <v>2</v>
      </c>
      <c r="I209" t="s">
        <v>804</v>
      </c>
      <c r="J209" t="s">
        <v>805</v>
      </c>
      <c r="K209" t="s">
        <v>806</v>
      </c>
      <c r="L209">
        <v>1368</v>
      </c>
      <c r="N209">
        <v>1011</v>
      </c>
      <c r="O209" t="s">
        <v>516</v>
      </c>
      <c r="P209" t="s">
        <v>516</v>
      </c>
      <c r="Q209">
        <v>1</v>
      </c>
      <c r="X209">
        <v>0.15</v>
      </c>
      <c r="Y209">
        <v>0</v>
      </c>
      <c r="Z209">
        <v>1.98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160</v>
      </c>
      <c r="AG209">
        <v>0.1875</v>
      </c>
      <c r="AH209">
        <v>2</v>
      </c>
      <c r="AI209">
        <v>48371635</v>
      </c>
      <c r="AJ209">
        <v>208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>
      <c r="A210">
        <f>ROW(Source!A97)</f>
        <v>97</v>
      </c>
      <c r="B210">
        <v>48371636</v>
      </c>
      <c r="C210">
        <v>48371632</v>
      </c>
      <c r="D210">
        <v>37804065</v>
      </c>
      <c r="E210">
        <v>1</v>
      </c>
      <c r="F210">
        <v>1</v>
      </c>
      <c r="G210">
        <v>1</v>
      </c>
      <c r="H210">
        <v>2</v>
      </c>
      <c r="I210" t="s">
        <v>690</v>
      </c>
      <c r="J210" t="s">
        <v>691</v>
      </c>
      <c r="K210" t="s">
        <v>692</v>
      </c>
      <c r="L210">
        <v>1368</v>
      </c>
      <c r="N210">
        <v>1011</v>
      </c>
      <c r="O210" t="s">
        <v>516</v>
      </c>
      <c r="P210" t="s">
        <v>516</v>
      </c>
      <c r="Q210">
        <v>1</v>
      </c>
      <c r="X210">
        <v>0.11</v>
      </c>
      <c r="Y210">
        <v>0</v>
      </c>
      <c r="Z210">
        <v>2.15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160</v>
      </c>
      <c r="AG210">
        <v>0.13750000000000001</v>
      </c>
      <c r="AH210">
        <v>2</v>
      </c>
      <c r="AI210">
        <v>48371636</v>
      </c>
      <c r="AJ210">
        <v>209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>
      <c r="A211">
        <f>ROW(Source!A97)</f>
        <v>97</v>
      </c>
      <c r="B211">
        <v>48371637</v>
      </c>
      <c r="C211">
        <v>48371632</v>
      </c>
      <c r="D211">
        <v>37804071</v>
      </c>
      <c r="E211">
        <v>1</v>
      </c>
      <c r="F211">
        <v>1</v>
      </c>
      <c r="G211">
        <v>1</v>
      </c>
      <c r="H211">
        <v>2</v>
      </c>
      <c r="I211" t="s">
        <v>807</v>
      </c>
      <c r="J211" t="s">
        <v>808</v>
      </c>
      <c r="K211" t="s">
        <v>809</v>
      </c>
      <c r="L211">
        <v>1368</v>
      </c>
      <c r="N211">
        <v>1011</v>
      </c>
      <c r="O211" t="s">
        <v>516</v>
      </c>
      <c r="P211" t="s">
        <v>516</v>
      </c>
      <c r="Q211">
        <v>1</v>
      </c>
      <c r="X211">
        <v>0.02</v>
      </c>
      <c r="Y211">
        <v>0</v>
      </c>
      <c r="Z211">
        <v>5.4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160</v>
      </c>
      <c r="AG211">
        <v>2.5000000000000001E-2</v>
      </c>
      <c r="AH211">
        <v>2</v>
      </c>
      <c r="AI211">
        <v>48371637</v>
      </c>
      <c r="AJ211">
        <v>210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>
      <c r="A212">
        <f>ROW(Source!A97)</f>
        <v>97</v>
      </c>
      <c r="B212">
        <v>48371638</v>
      </c>
      <c r="C212">
        <v>48371632</v>
      </c>
      <c r="D212">
        <v>37736609</v>
      </c>
      <c r="E212">
        <v>1</v>
      </c>
      <c r="F212">
        <v>1</v>
      </c>
      <c r="G212">
        <v>1</v>
      </c>
      <c r="H212">
        <v>3</v>
      </c>
      <c r="I212" t="s">
        <v>810</v>
      </c>
      <c r="J212" t="s">
        <v>811</v>
      </c>
      <c r="K212" t="s">
        <v>812</v>
      </c>
      <c r="L212">
        <v>1348</v>
      </c>
      <c r="N212">
        <v>1009</v>
      </c>
      <c r="O212" t="s">
        <v>536</v>
      </c>
      <c r="P212" t="s">
        <v>536</v>
      </c>
      <c r="Q212">
        <v>1000</v>
      </c>
      <c r="X212">
        <v>6.9999999999999994E-5</v>
      </c>
      <c r="Y212">
        <v>9750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F212" t="s">
        <v>3</v>
      </c>
      <c r="AG212">
        <v>6.9999999999999994E-5</v>
      </c>
      <c r="AH212">
        <v>2</v>
      </c>
      <c r="AI212">
        <v>48371638</v>
      </c>
      <c r="AJ212">
        <v>211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>
      <c r="A213">
        <f>ROW(Source!A97)</f>
        <v>97</v>
      </c>
      <c r="B213">
        <v>48371639</v>
      </c>
      <c r="C213">
        <v>48371632</v>
      </c>
      <c r="D213">
        <v>37736903</v>
      </c>
      <c r="E213">
        <v>1</v>
      </c>
      <c r="F213">
        <v>1</v>
      </c>
      <c r="G213">
        <v>1</v>
      </c>
      <c r="H213">
        <v>3</v>
      </c>
      <c r="I213" t="s">
        <v>813</v>
      </c>
      <c r="J213" t="s">
        <v>814</v>
      </c>
      <c r="K213" t="s">
        <v>815</v>
      </c>
      <c r="L213">
        <v>1354</v>
      </c>
      <c r="N213">
        <v>1010</v>
      </c>
      <c r="O213" t="s">
        <v>220</v>
      </c>
      <c r="P213" t="s">
        <v>220</v>
      </c>
      <c r="Q213">
        <v>1</v>
      </c>
      <c r="X213">
        <v>8.0000000000000002E-3</v>
      </c>
      <c r="Y213">
        <v>0.2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 t="s">
        <v>3</v>
      </c>
      <c r="AG213">
        <v>8.0000000000000002E-3</v>
      </c>
      <c r="AH213">
        <v>2</v>
      </c>
      <c r="AI213">
        <v>48371639</v>
      </c>
      <c r="AJ213">
        <v>212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>
      <c r="A214">
        <f>ROW(Source!A97)</f>
        <v>97</v>
      </c>
      <c r="B214">
        <v>48371640</v>
      </c>
      <c r="C214">
        <v>48371632</v>
      </c>
      <c r="D214">
        <v>37737435</v>
      </c>
      <c r="E214">
        <v>1</v>
      </c>
      <c r="F214">
        <v>1</v>
      </c>
      <c r="G214">
        <v>1</v>
      </c>
      <c r="H214">
        <v>3</v>
      </c>
      <c r="I214" t="s">
        <v>790</v>
      </c>
      <c r="J214" t="s">
        <v>791</v>
      </c>
      <c r="K214" t="s">
        <v>792</v>
      </c>
      <c r="L214">
        <v>1035</v>
      </c>
      <c r="N214">
        <v>1013</v>
      </c>
      <c r="O214" t="s">
        <v>255</v>
      </c>
      <c r="P214" t="s">
        <v>255</v>
      </c>
      <c r="Q214">
        <v>1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1</v>
      </c>
      <c r="AD214">
        <v>0</v>
      </c>
      <c r="AE214">
        <v>0</v>
      </c>
      <c r="AF214" t="s">
        <v>3</v>
      </c>
      <c r="AG214">
        <v>0</v>
      </c>
      <c r="AH214">
        <v>2</v>
      </c>
      <c r="AI214">
        <v>48371640</v>
      </c>
      <c r="AJ214">
        <v>213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>
      <c r="A215">
        <f>ROW(Source!A99)</f>
        <v>99</v>
      </c>
      <c r="B215">
        <v>48371664</v>
      </c>
      <c r="C215">
        <v>48371663</v>
      </c>
      <c r="D215">
        <v>23135499</v>
      </c>
      <c r="E215">
        <v>1</v>
      </c>
      <c r="F215">
        <v>1</v>
      </c>
      <c r="G215">
        <v>1</v>
      </c>
      <c r="H215">
        <v>1</v>
      </c>
      <c r="I215" t="s">
        <v>623</v>
      </c>
      <c r="J215" t="s">
        <v>3</v>
      </c>
      <c r="K215" t="s">
        <v>624</v>
      </c>
      <c r="L215">
        <v>1369</v>
      </c>
      <c r="N215">
        <v>1013</v>
      </c>
      <c r="O215" t="s">
        <v>510</v>
      </c>
      <c r="P215" t="s">
        <v>510</v>
      </c>
      <c r="Q215">
        <v>1</v>
      </c>
      <c r="X215">
        <v>2.8</v>
      </c>
      <c r="Y215">
        <v>0</v>
      </c>
      <c r="Z215">
        <v>0</v>
      </c>
      <c r="AA215">
        <v>0</v>
      </c>
      <c r="AB215">
        <v>8.99</v>
      </c>
      <c r="AC215">
        <v>0</v>
      </c>
      <c r="AD215">
        <v>1</v>
      </c>
      <c r="AE215">
        <v>1</v>
      </c>
      <c r="AF215" t="s">
        <v>161</v>
      </c>
      <c r="AG215">
        <v>3.2199999999999998</v>
      </c>
      <c r="AH215">
        <v>2</v>
      </c>
      <c r="AI215">
        <v>48371664</v>
      </c>
      <c r="AJ215">
        <v>214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>
      <c r="A216">
        <f>ROW(Source!A99)</f>
        <v>99</v>
      </c>
      <c r="B216">
        <v>48371665</v>
      </c>
      <c r="C216">
        <v>48371663</v>
      </c>
      <c r="D216">
        <v>37804065</v>
      </c>
      <c r="E216">
        <v>1</v>
      </c>
      <c r="F216">
        <v>1</v>
      </c>
      <c r="G216">
        <v>1</v>
      </c>
      <c r="H216">
        <v>2</v>
      </c>
      <c r="I216" t="s">
        <v>690</v>
      </c>
      <c r="J216" t="s">
        <v>691</v>
      </c>
      <c r="K216" t="s">
        <v>692</v>
      </c>
      <c r="L216">
        <v>1368</v>
      </c>
      <c r="N216">
        <v>1011</v>
      </c>
      <c r="O216" t="s">
        <v>516</v>
      </c>
      <c r="P216" t="s">
        <v>516</v>
      </c>
      <c r="Q216">
        <v>1</v>
      </c>
      <c r="X216">
        <v>0.1</v>
      </c>
      <c r="Y216">
        <v>0</v>
      </c>
      <c r="Z216">
        <v>2.15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160</v>
      </c>
      <c r="AG216">
        <v>0.125</v>
      </c>
      <c r="AH216">
        <v>2</v>
      </c>
      <c r="AI216">
        <v>48371665</v>
      </c>
      <c r="AJ216">
        <v>215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>
      <c r="A217">
        <f>ROW(Source!A99)</f>
        <v>99</v>
      </c>
      <c r="B217">
        <v>48371666</v>
      </c>
      <c r="C217">
        <v>48371663</v>
      </c>
      <c r="D217">
        <v>37735405</v>
      </c>
      <c r="E217">
        <v>1</v>
      </c>
      <c r="F217">
        <v>1</v>
      </c>
      <c r="G217">
        <v>1</v>
      </c>
      <c r="H217">
        <v>3</v>
      </c>
      <c r="I217" t="s">
        <v>729</v>
      </c>
      <c r="J217" t="s">
        <v>730</v>
      </c>
      <c r="K217" t="s">
        <v>731</v>
      </c>
      <c r="L217">
        <v>1348</v>
      </c>
      <c r="N217">
        <v>1009</v>
      </c>
      <c r="O217" t="s">
        <v>536</v>
      </c>
      <c r="P217" t="s">
        <v>536</v>
      </c>
      <c r="Q217">
        <v>1000</v>
      </c>
      <c r="X217">
        <v>1E-4</v>
      </c>
      <c r="Y217">
        <v>5989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 t="s">
        <v>3</v>
      </c>
      <c r="AG217">
        <v>1E-4</v>
      </c>
      <c r="AH217">
        <v>2</v>
      </c>
      <c r="AI217">
        <v>48371666</v>
      </c>
      <c r="AJ217">
        <v>216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>
      <c r="A218">
        <f>ROW(Source!A99)</f>
        <v>99</v>
      </c>
      <c r="B218">
        <v>48371667</v>
      </c>
      <c r="C218">
        <v>48371663</v>
      </c>
      <c r="D218">
        <v>37737279</v>
      </c>
      <c r="E218">
        <v>1</v>
      </c>
      <c r="F218">
        <v>1</v>
      </c>
      <c r="G218">
        <v>1</v>
      </c>
      <c r="H218">
        <v>3</v>
      </c>
      <c r="I218" t="s">
        <v>816</v>
      </c>
      <c r="J218" t="s">
        <v>817</v>
      </c>
      <c r="K218" t="s">
        <v>818</v>
      </c>
      <c r="L218">
        <v>1348</v>
      </c>
      <c r="N218">
        <v>1009</v>
      </c>
      <c r="O218" t="s">
        <v>536</v>
      </c>
      <c r="P218" t="s">
        <v>536</v>
      </c>
      <c r="Q218">
        <v>1000</v>
      </c>
      <c r="X218">
        <v>1.3999999999999999E-4</v>
      </c>
      <c r="Y218">
        <v>12430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3</v>
      </c>
      <c r="AG218">
        <v>1.3999999999999999E-4</v>
      </c>
      <c r="AH218">
        <v>2</v>
      </c>
      <c r="AI218">
        <v>48371667</v>
      </c>
      <c r="AJ218">
        <v>217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>
      <c r="A219">
        <f>ROW(Source!A99)</f>
        <v>99</v>
      </c>
      <c r="B219">
        <v>48371668</v>
      </c>
      <c r="C219">
        <v>48371663</v>
      </c>
      <c r="D219">
        <v>37737063</v>
      </c>
      <c r="E219">
        <v>1</v>
      </c>
      <c r="F219">
        <v>1</v>
      </c>
      <c r="G219">
        <v>1</v>
      </c>
      <c r="H219">
        <v>3</v>
      </c>
      <c r="I219" t="s">
        <v>819</v>
      </c>
      <c r="J219" t="s">
        <v>820</v>
      </c>
      <c r="K219" t="s">
        <v>821</v>
      </c>
      <c r="L219">
        <v>1358</v>
      </c>
      <c r="N219">
        <v>1010</v>
      </c>
      <c r="O219" t="s">
        <v>278</v>
      </c>
      <c r="P219" t="s">
        <v>278</v>
      </c>
      <c r="Q219">
        <v>10</v>
      </c>
      <c r="X219">
        <v>2</v>
      </c>
      <c r="Y219">
        <v>1.8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0</v>
      </c>
      <c r="AF219" t="s">
        <v>3</v>
      </c>
      <c r="AG219">
        <v>2</v>
      </c>
      <c r="AH219">
        <v>2</v>
      </c>
      <c r="AI219">
        <v>48371668</v>
      </c>
      <c r="AJ219">
        <v>218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>
      <c r="A220">
        <f>ROW(Source!A99)</f>
        <v>99</v>
      </c>
      <c r="B220">
        <v>48371669</v>
      </c>
      <c r="C220">
        <v>48371663</v>
      </c>
      <c r="D220">
        <v>37764786</v>
      </c>
      <c r="E220">
        <v>1</v>
      </c>
      <c r="F220">
        <v>1</v>
      </c>
      <c r="G220">
        <v>1</v>
      </c>
      <c r="H220">
        <v>3</v>
      </c>
      <c r="I220" t="s">
        <v>822</v>
      </c>
      <c r="J220" t="s">
        <v>823</v>
      </c>
      <c r="K220" t="s">
        <v>824</v>
      </c>
      <c r="L220">
        <v>1354</v>
      </c>
      <c r="N220">
        <v>1010</v>
      </c>
      <c r="O220" t="s">
        <v>220</v>
      </c>
      <c r="P220" t="s">
        <v>220</v>
      </c>
      <c r="Q220">
        <v>1</v>
      </c>
      <c r="X220">
        <v>10</v>
      </c>
      <c r="Y220">
        <v>154.6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0</v>
      </c>
      <c r="AF220" t="s">
        <v>3</v>
      </c>
      <c r="AG220">
        <v>10</v>
      </c>
      <c r="AH220">
        <v>2</v>
      </c>
      <c r="AI220">
        <v>48371669</v>
      </c>
      <c r="AJ220">
        <v>219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>
      <c r="A221">
        <f>ROW(Source!A104)</f>
        <v>104</v>
      </c>
      <c r="B221">
        <v>48371801</v>
      </c>
      <c r="C221">
        <v>48371800</v>
      </c>
      <c r="D221">
        <v>23129487</v>
      </c>
      <c r="E221">
        <v>1</v>
      </c>
      <c r="F221">
        <v>1</v>
      </c>
      <c r="G221">
        <v>1</v>
      </c>
      <c r="H221">
        <v>1</v>
      </c>
      <c r="I221" t="s">
        <v>631</v>
      </c>
      <c r="J221" t="s">
        <v>3</v>
      </c>
      <c r="K221" t="s">
        <v>632</v>
      </c>
      <c r="L221">
        <v>1369</v>
      </c>
      <c r="N221">
        <v>1013</v>
      </c>
      <c r="O221" t="s">
        <v>510</v>
      </c>
      <c r="P221" t="s">
        <v>510</v>
      </c>
      <c r="Q221">
        <v>1</v>
      </c>
      <c r="X221">
        <v>71</v>
      </c>
      <c r="Y221">
        <v>0</v>
      </c>
      <c r="Z221">
        <v>0</v>
      </c>
      <c r="AA221">
        <v>0</v>
      </c>
      <c r="AB221">
        <v>8.48</v>
      </c>
      <c r="AC221">
        <v>0</v>
      </c>
      <c r="AD221">
        <v>1</v>
      </c>
      <c r="AE221">
        <v>1</v>
      </c>
      <c r="AF221" t="s">
        <v>161</v>
      </c>
      <c r="AG221">
        <v>81.649999999999991</v>
      </c>
      <c r="AH221">
        <v>2</v>
      </c>
      <c r="AI221">
        <v>48371801</v>
      </c>
      <c r="AJ221">
        <v>220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>
      <c r="A222">
        <f>ROW(Source!A104)</f>
        <v>104</v>
      </c>
      <c r="B222">
        <v>48371802</v>
      </c>
      <c r="C222">
        <v>48371800</v>
      </c>
      <c r="D222">
        <v>37803303</v>
      </c>
      <c r="E222">
        <v>1</v>
      </c>
      <c r="F222">
        <v>1</v>
      </c>
      <c r="G222">
        <v>1</v>
      </c>
      <c r="H222">
        <v>2</v>
      </c>
      <c r="I222" t="s">
        <v>804</v>
      </c>
      <c r="J222" t="s">
        <v>805</v>
      </c>
      <c r="K222" t="s">
        <v>806</v>
      </c>
      <c r="L222">
        <v>1368</v>
      </c>
      <c r="N222">
        <v>1011</v>
      </c>
      <c r="O222" t="s">
        <v>516</v>
      </c>
      <c r="P222" t="s">
        <v>516</v>
      </c>
      <c r="Q222">
        <v>1</v>
      </c>
      <c r="X222">
        <v>1.55</v>
      </c>
      <c r="Y222">
        <v>0</v>
      </c>
      <c r="Z222">
        <v>1.98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160</v>
      </c>
      <c r="AG222">
        <v>1.9375</v>
      </c>
      <c r="AH222">
        <v>2</v>
      </c>
      <c r="AI222">
        <v>48371802</v>
      </c>
      <c r="AJ222">
        <v>221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>
      <c r="A223">
        <f>ROW(Source!A104)</f>
        <v>104</v>
      </c>
      <c r="B223">
        <v>48371803</v>
      </c>
      <c r="C223">
        <v>48371800</v>
      </c>
      <c r="D223">
        <v>37804098</v>
      </c>
      <c r="E223">
        <v>1</v>
      </c>
      <c r="F223">
        <v>1</v>
      </c>
      <c r="G223">
        <v>1</v>
      </c>
      <c r="H223">
        <v>2</v>
      </c>
      <c r="I223" t="s">
        <v>825</v>
      </c>
      <c r="J223" t="s">
        <v>826</v>
      </c>
      <c r="K223" t="s">
        <v>827</v>
      </c>
      <c r="L223">
        <v>1368</v>
      </c>
      <c r="N223">
        <v>1011</v>
      </c>
      <c r="O223" t="s">
        <v>516</v>
      </c>
      <c r="P223" t="s">
        <v>516</v>
      </c>
      <c r="Q223">
        <v>1</v>
      </c>
      <c r="X223">
        <v>0.38</v>
      </c>
      <c r="Y223">
        <v>0</v>
      </c>
      <c r="Z223">
        <v>37.15</v>
      </c>
      <c r="AA223">
        <v>0</v>
      </c>
      <c r="AB223">
        <v>0</v>
      </c>
      <c r="AC223">
        <v>0</v>
      </c>
      <c r="AD223">
        <v>1</v>
      </c>
      <c r="AE223">
        <v>0</v>
      </c>
      <c r="AF223" t="s">
        <v>160</v>
      </c>
      <c r="AG223">
        <v>0.47499999999999998</v>
      </c>
      <c r="AH223">
        <v>2</v>
      </c>
      <c r="AI223">
        <v>48371803</v>
      </c>
      <c r="AJ223">
        <v>222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>
      <c r="A224">
        <f>ROW(Source!A104)</f>
        <v>104</v>
      </c>
      <c r="B224">
        <v>48371804</v>
      </c>
      <c r="C224">
        <v>48371800</v>
      </c>
      <c r="D224">
        <v>37804136</v>
      </c>
      <c r="E224">
        <v>1</v>
      </c>
      <c r="F224">
        <v>1</v>
      </c>
      <c r="G224">
        <v>1</v>
      </c>
      <c r="H224">
        <v>2</v>
      </c>
      <c r="I224" t="s">
        <v>828</v>
      </c>
      <c r="J224" t="s">
        <v>829</v>
      </c>
      <c r="K224" t="s">
        <v>830</v>
      </c>
      <c r="L224">
        <v>1368</v>
      </c>
      <c r="N224">
        <v>1011</v>
      </c>
      <c r="O224" t="s">
        <v>516</v>
      </c>
      <c r="P224" t="s">
        <v>516</v>
      </c>
      <c r="Q224">
        <v>1</v>
      </c>
      <c r="X224">
        <v>0.51</v>
      </c>
      <c r="Y224">
        <v>0</v>
      </c>
      <c r="Z224">
        <v>2.27</v>
      </c>
      <c r="AA224">
        <v>0</v>
      </c>
      <c r="AB224">
        <v>0</v>
      </c>
      <c r="AC224">
        <v>0</v>
      </c>
      <c r="AD224">
        <v>1</v>
      </c>
      <c r="AE224">
        <v>0</v>
      </c>
      <c r="AF224" t="s">
        <v>160</v>
      </c>
      <c r="AG224">
        <v>0.63749999999999996</v>
      </c>
      <c r="AH224">
        <v>2</v>
      </c>
      <c r="AI224">
        <v>48371804</v>
      </c>
      <c r="AJ224">
        <v>223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>
      <c r="A225">
        <f>ROW(Source!A104)</f>
        <v>104</v>
      </c>
      <c r="B225">
        <v>48371805</v>
      </c>
      <c r="C225">
        <v>48371800</v>
      </c>
      <c r="D225">
        <v>37730704</v>
      </c>
      <c r="E225">
        <v>1</v>
      </c>
      <c r="F225">
        <v>1</v>
      </c>
      <c r="G225">
        <v>1</v>
      </c>
      <c r="H225">
        <v>3</v>
      </c>
      <c r="I225" t="s">
        <v>831</v>
      </c>
      <c r="J225" t="s">
        <v>832</v>
      </c>
      <c r="K225" t="s">
        <v>833</v>
      </c>
      <c r="L225">
        <v>1354</v>
      </c>
      <c r="N225">
        <v>1010</v>
      </c>
      <c r="O225" t="s">
        <v>220</v>
      </c>
      <c r="P225" t="s">
        <v>220</v>
      </c>
      <c r="Q225">
        <v>1</v>
      </c>
      <c r="X225">
        <v>7</v>
      </c>
      <c r="Y225">
        <v>14.03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0</v>
      </c>
      <c r="AF225" t="s">
        <v>3</v>
      </c>
      <c r="AG225">
        <v>7</v>
      </c>
      <c r="AH225">
        <v>2</v>
      </c>
      <c r="AI225">
        <v>48371805</v>
      </c>
      <c r="AJ225">
        <v>224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>
      <c r="A226">
        <f>ROW(Source!A104)</f>
        <v>104</v>
      </c>
      <c r="B226">
        <v>48371806</v>
      </c>
      <c r="C226">
        <v>48371800</v>
      </c>
      <c r="D226">
        <v>37731527</v>
      </c>
      <c r="E226">
        <v>1</v>
      </c>
      <c r="F226">
        <v>1</v>
      </c>
      <c r="G226">
        <v>1</v>
      </c>
      <c r="H226">
        <v>3</v>
      </c>
      <c r="I226" t="s">
        <v>834</v>
      </c>
      <c r="J226" t="s">
        <v>835</v>
      </c>
      <c r="K226" t="s">
        <v>836</v>
      </c>
      <c r="L226">
        <v>1346</v>
      </c>
      <c r="N226">
        <v>1009</v>
      </c>
      <c r="O226" t="s">
        <v>172</v>
      </c>
      <c r="P226" t="s">
        <v>172</v>
      </c>
      <c r="Q226">
        <v>1</v>
      </c>
      <c r="X226">
        <v>10</v>
      </c>
      <c r="Y226">
        <v>13.27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0</v>
      </c>
      <c r="AF226" t="s">
        <v>3</v>
      </c>
      <c r="AG226">
        <v>10</v>
      </c>
      <c r="AH226">
        <v>2</v>
      </c>
      <c r="AI226">
        <v>48371806</v>
      </c>
      <c r="AJ226">
        <v>225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>
      <c r="A227">
        <f>ROW(Source!A104)</f>
        <v>104</v>
      </c>
      <c r="B227">
        <v>48371807</v>
      </c>
      <c r="C227">
        <v>48371800</v>
      </c>
      <c r="D227">
        <v>37731586</v>
      </c>
      <c r="E227">
        <v>1</v>
      </c>
      <c r="F227">
        <v>1</v>
      </c>
      <c r="G227">
        <v>1</v>
      </c>
      <c r="H227">
        <v>3</v>
      </c>
      <c r="I227" t="s">
        <v>837</v>
      </c>
      <c r="J227" t="s">
        <v>838</v>
      </c>
      <c r="K227" t="s">
        <v>839</v>
      </c>
      <c r="L227">
        <v>1346</v>
      </c>
      <c r="N227">
        <v>1009</v>
      </c>
      <c r="O227" t="s">
        <v>172</v>
      </c>
      <c r="P227" t="s">
        <v>172</v>
      </c>
      <c r="Q227">
        <v>1</v>
      </c>
      <c r="X227">
        <v>60</v>
      </c>
      <c r="Y227">
        <v>1.6</v>
      </c>
      <c r="Z227">
        <v>0</v>
      </c>
      <c r="AA227">
        <v>0</v>
      </c>
      <c r="AB227">
        <v>0</v>
      </c>
      <c r="AC227">
        <v>0</v>
      </c>
      <c r="AD227">
        <v>1</v>
      </c>
      <c r="AE227">
        <v>0</v>
      </c>
      <c r="AF227" t="s">
        <v>3</v>
      </c>
      <c r="AG227">
        <v>60</v>
      </c>
      <c r="AH227">
        <v>2</v>
      </c>
      <c r="AI227">
        <v>48371807</v>
      </c>
      <c r="AJ227">
        <v>226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>
      <c r="A228">
        <f>ROW(Source!A104)</f>
        <v>104</v>
      </c>
      <c r="B228">
        <v>48371808</v>
      </c>
      <c r="C228">
        <v>48371800</v>
      </c>
      <c r="D228">
        <v>37731904</v>
      </c>
      <c r="E228">
        <v>1</v>
      </c>
      <c r="F228">
        <v>1</v>
      </c>
      <c r="G228">
        <v>1</v>
      </c>
      <c r="H228">
        <v>3</v>
      </c>
      <c r="I228" t="s">
        <v>840</v>
      </c>
      <c r="J228" t="s">
        <v>841</v>
      </c>
      <c r="K228" t="s">
        <v>842</v>
      </c>
      <c r="L228">
        <v>1346</v>
      </c>
      <c r="N228">
        <v>1009</v>
      </c>
      <c r="O228" t="s">
        <v>172</v>
      </c>
      <c r="P228" t="s">
        <v>172</v>
      </c>
      <c r="Q228">
        <v>1</v>
      </c>
      <c r="X228">
        <v>4</v>
      </c>
      <c r="Y228">
        <v>7.57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F228" t="s">
        <v>3</v>
      </c>
      <c r="AG228">
        <v>4</v>
      </c>
      <c r="AH228">
        <v>2</v>
      </c>
      <c r="AI228">
        <v>48371808</v>
      </c>
      <c r="AJ228">
        <v>227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>
      <c r="A229">
        <f>ROW(Source!A104)</f>
        <v>104</v>
      </c>
      <c r="B229">
        <v>48371809</v>
      </c>
      <c r="C229">
        <v>48371800</v>
      </c>
      <c r="D229">
        <v>37731905</v>
      </c>
      <c r="E229">
        <v>1</v>
      </c>
      <c r="F229">
        <v>1</v>
      </c>
      <c r="G229">
        <v>1</v>
      </c>
      <c r="H229">
        <v>3</v>
      </c>
      <c r="I229" t="s">
        <v>843</v>
      </c>
      <c r="J229" t="s">
        <v>844</v>
      </c>
      <c r="K229" t="s">
        <v>845</v>
      </c>
      <c r="L229">
        <v>1346</v>
      </c>
      <c r="N229">
        <v>1009</v>
      </c>
      <c r="O229" t="s">
        <v>172</v>
      </c>
      <c r="P229" t="s">
        <v>172</v>
      </c>
      <c r="Q229">
        <v>1</v>
      </c>
      <c r="X229">
        <v>37</v>
      </c>
      <c r="Y229">
        <v>2.74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F229" t="s">
        <v>3</v>
      </c>
      <c r="AG229">
        <v>37</v>
      </c>
      <c r="AH229">
        <v>2</v>
      </c>
      <c r="AI229">
        <v>48371809</v>
      </c>
      <c r="AJ229">
        <v>228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>
      <c r="A230">
        <f>ROW(Source!A104)</f>
        <v>104</v>
      </c>
      <c r="B230">
        <v>48371810</v>
      </c>
      <c r="C230">
        <v>48371800</v>
      </c>
      <c r="D230">
        <v>37732902</v>
      </c>
      <c r="E230">
        <v>1</v>
      </c>
      <c r="F230">
        <v>1</v>
      </c>
      <c r="G230">
        <v>1</v>
      </c>
      <c r="H230">
        <v>3</v>
      </c>
      <c r="I230" t="s">
        <v>846</v>
      </c>
      <c r="J230" t="s">
        <v>847</v>
      </c>
      <c r="K230" t="s">
        <v>848</v>
      </c>
      <c r="L230">
        <v>1301</v>
      </c>
      <c r="N230">
        <v>1003</v>
      </c>
      <c r="O230" t="s">
        <v>208</v>
      </c>
      <c r="P230" t="s">
        <v>208</v>
      </c>
      <c r="Q230">
        <v>1</v>
      </c>
      <c r="X230">
        <v>83</v>
      </c>
      <c r="Y230">
        <v>0.17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F230" t="s">
        <v>3</v>
      </c>
      <c r="AG230">
        <v>83</v>
      </c>
      <c r="AH230">
        <v>2</v>
      </c>
      <c r="AI230">
        <v>48371810</v>
      </c>
      <c r="AJ230">
        <v>229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>
      <c r="A231">
        <f>ROW(Source!A104)</f>
        <v>104</v>
      </c>
      <c r="B231">
        <v>48371811</v>
      </c>
      <c r="C231">
        <v>48371800</v>
      </c>
      <c r="D231">
        <v>37733005</v>
      </c>
      <c r="E231">
        <v>1</v>
      </c>
      <c r="F231">
        <v>1</v>
      </c>
      <c r="G231">
        <v>1</v>
      </c>
      <c r="H231">
        <v>3</v>
      </c>
      <c r="I231" t="s">
        <v>849</v>
      </c>
      <c r="J231" t="s">
        <v>850</v>
      </c>
      <c r="K231" t="s">
        <v>851</v>
      </c>
      <c r="L231">
        <v>1301</v>
      </c>
      <c r="N231">
        <v>1003</v>
      </c>
      <c r="O231" t="s">
        <v>208</v>
      </c>
      <c r="P231" t="s">
        <v>208</v>
      </c>
      <c r="Q231">
        <v>1</v>
      </c>
      <c r="X231">
        <v>82</v>
      </c>
      <c r="Y231">
        <v>1.76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F231" t="s">
        <v>3</v>
      </c>
      <c r="AG231">
        <v>82</v>
      </c>
      <c r="AH231">
        <v>2</v>
      </c>
      <c r="AI231">
        <v>48371811</v>
      </c>
      <c r="AJ231">
        <v>230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>
      <c r="A232">
        <f>ROW(Source!A104)</f>
        <v>104</v>
      </c>
      <c r="B232">
        <v>48371812</v>
      </c>
      <c r="C232">
        <v>48371800</v>
      </c>
      <c r="D232">
        <v>37733020</v>
      </c>
      <c r="E232">
        <v>1</v>
      </c>
      <c r="F232">
        <v>1</v>
      </c>
      <c r="G232">
        <v>1</v>
      </c>
      <c r="H232">
        <v>3</v>
      </c>
      <c r="I232" t="s">
        <v>852</v>
      </c>
      <c r="J232" t="s">
        <v>853</v>
      </c>
      <c r="K232" t="s">
        <v>854</v>
      </c>
      <c r="L232">
        <v>1301</v>
      </c>
      <c r="N232">
        <v>1003</v>
      </c>
      <c r="O232" t="s">
        <v>208</v>
      </c>
      <c r="P232" t="s">
        <v>208</v>
      </c>
      <c r="Q232">
        <v>1</v>
      </c>
      <c r="X232">
        <v>116</v>
      </c>
      <c r="Y232">
        <v>0.85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F232" t="s">
        <v>3</v>
      </c>
      <c r="AG232">
        <v>116</v>
      </c>
      <c r="AH232">
        <v>2</v>
      </c>
      <c r="AI232">
        <v>48371812</v>
      </c>
      <c r="AJ232">
        <v>231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>
      <c r="A233">
        <f>ROW(Source!A104)</f>
        <v>104</v>
      </c>
      <c r="B233">
        <v>48371813</v>
      </c>
      <c r="C233">
        <v>48371800</v>
      </c>
      <c r="D233">
        <v>37733783</v>
      </c>
      <c r="E233">
        <v>1</v>
      </c>
      <c r="F233">
        <v>1</v>
      </c>
      <c r="G233">
        <v>1</v>
      </c>
      <c r="H233">
        <v>3</v>
      </c>
      <c r="I233" t="s">
        <v>855</v>
      </c>
      <c r="J233" t="s">
        <v>856</v>
      </c>
      <c r="K233" t="s">
        <v>857</v>
      </c>
      <c r="L233">
        <v>1327</v>
      </c>
      <c r="N233">
        <v>1005</v>
      </c>
      <c r="O233" t="s">
        <v>189</v>
      </c>
      <c r="P233" t="s">
        <v>189</v>
      </c>
      <c r="Q233">
        <v>1</v>
      </c>
      <c r="X233">
        <v>107</v>
      </c>
      <c r="Y233">
        <v>15.23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0</v>
      </c>
      <c r="AF233" t="s">
        <v>3</v>
      </c>
      <c r="AG233">
        <v>107</v>
      </c>
      <c r="AH233">
        <v>2</v>
      </c>
      <c r="AI233">
        <v>48371813</v>
      </c>
      <c r="AJ233">
        <v>232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>
      <c r="A234">
        <f>ROW(Source!A104)</f>
        <v>104</v>
      </c>
      <c r="B234">
        <v>48371814</v>
      </c>
      <c r="C234">
        <v>48371800</v>
      </c>
      <c r="D234">
        <v>37737327</v>
      </c>
      <c r="E234">
        <v>1</v>
      </c>
      <c r="F234">
        <v>1</v>
      </c>
      <c r="G234">
        <v>1</v>
      </c>
      <c r="H234">
        <v>3</v>
      </c>
      <c r="I234" t="s">
        <v>858</v>
      </c>
      <c r="J234" t="s">
        <v>859</v>
      </c>
      <c r="K234" t="s">
        <v>860</v>
      </c>
      <c r="L234">
        <v>1354</v>
      </c>
      <c r="N234">
        <v>1010</v>
      </c>
      <c r="O234" t="s">
        <v>220</v>
      </c>
      <c r="P234" t="s">
        <v>220</v>
      </c>
      <c r="Q234">
        <v>1</v>
      </c>
      <c r="X234">
        <v>1855</v>
      </c>
      <c r="Y234">
        <v>0.02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0</v>
      </c>
      <c r="AF234" t="s">
        <v>3</v>
      </c>
      <c r="AG234">
        <v>1855</v>
      </c>
      <c r="AH234">
        <v>2</v>
      </c>
      <c r="AI234">
        <v>48371814</v>
      </c>
      <c r="AJ234">
        <v>233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>
      <c r="A235">
        <f>ROW(Source!A104)</f>
        <v>104</v>
      </c>
      <c r="B235">
        <v>48371815</v>
      </c>
      <c r="C235">
        <v>48371800</v>
      </c>
      <c r="D235">
        <v>37737073</v>
      </c>
      <c r="E235">
        <v>1</v>
      </c>
      <c r="F235">
        <v>1</v>
      </c>
      <c r="G235">
        <v>1</v>
      </c>
      <c r="H235">
        <v>3</v>
      </c>
      <c r="I235" t="s">
        <v>861</v>
      </c>
      <c r="J235" t="s">
        <v>862</v>
      </c>
      <c r="K235" t="s">
        <v>863</v>
      </c>
      <c r="L235">
        <v>1354</v>
      </c>
      <c r="N235">
        <v>1010</v>
      </c>
      <c r="O235" t="s">
        <v>220</v>
      </c>
      <c r="P235" t="s">
        <v>220</v>
      </c>
      <c r="Q235">
        <v>1</v>
      </c>
      <c r="X235">
        <v>153</v>
      </c>
      <c r="Y235">
        <v>0.08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0</v>
      </c>
      <c r="AF235" t="s">
        <v>3</v>
      </c>
      <c r="AG235">
        <v>153</v>
      </c>
      <c r="AH235">
        <v>2</v>
      </c>
      <c r="AI235">
        <v>48371815</v>
      </c>
      <c r="AJ235">
        <v>234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>
      <c r="A236">
        <f>ROW(Source!A104)</f>
        <v>104</v>
      </c>
      <c r="B236">
        <v>48371816</v>
      </c>
      <c r="C236">
        <v>48371800</v>
      </c>
      <c r="D236">
        <v>37751559</v>
      </c>
      <c r="E236">
        <v>1</v>
      </c>
      <c r="F236">
        <v>1</v>
      </c>
      <c r="G236">
        <v>1</v>
      </c>
      <c r="H236">
        <v>3</v>
      </c>
      <c r="I236" t="s">
        <v>864</v>
      </c>
      <c r="J236" t="s">
        <v>865</v>
      </c>
      <c r="K236" t="s">
        <v>866</v>
      </c>
      <c r="L236">
        <v>1301</v>
      </c>
      <c r="N236">
        <v>1003</v>
      </c>
      <c r="O236" t="s">
        <v>208</v>
      </c>
      <c r="P236" t="s">
        <v>208</v>
      </c>
      <c r="Q236">
        <v>1</v>
      </c>
      <c r="X236">
        <v>121</v>
      </c>
      <c r="Y236">
        <v>7.01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0</v>
      </c>
      <c r="AF236" t="s">
        <v>3</v>
      </c>
      <c r="AG236">
        <v>121</v>
      </c>
      <c r="AH236">
        <v>2</v>
      </c>
      <c r="AI236">
        <v>48371816</v>
      </c>
      <c r="AJ236">
        <v>235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>
      <c r="A237">
        <f>ROW(Source!A104)</f>
        <v>104</v>
      </c>
      <c r="B237">
        <v>48371817</v>
      </c>
      <c r="C237">
        <v>48371800</v>
      </c>
      <c r="D237">
        <v>37751595</v>
      </c>
      <c r="E237">
        <v>1</v>
      </c>
      <c r="F237">
        <v>1</v>
      </c>
      <c r="G237">
        <v>1</v>
      </c>
      <c r="H237">
        <v>3</v>
      </c>
      <c r="I237" t="s">
        <v>867</v>
      </c>
      <c r="J237" t="s">
        <v>868</v>
      </c>
      <c r="K237" t="s">
        <v>869</v>
      </c>
      <c r="L237">
        <v>1301</v>
      </c>
      <c r="N237">
        <v>1003</v>
      </c>
      <c r="O237" t="s">
        <v>208</v>
      </c>
      <c r="P237" t="s">
        <v>208</v>
      </c>
      <c r="Q237">
        <v>1</v>
      </c>
      <c r="X237">
        <v>225</v>
      </c>
      <c r="Y237">
        <v>8.18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3</v>
      </c>
      <c r="AG237">
        <v>225</v>
      </c>
      <c r="AH237">
        <v>2</v>
      </c>
      <c r="AI237">
        <v>48371817</v>
      </c>
      <c r="AJ237">
        <v>236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>
      <c r="A238">
        <f>ROW(Source!A104)</f>
        <v>104</v>
      </c>
      <c r="B238">
        <v>48371818</v>
      </c>
      <c r="C238">
        <v>48371800</v>
      </c>
      <c r="D238">
        <v>37751610</v>
      </c>
      <c r="E238">
        <v>1</v>
      </c>
      <c r="F238">
        <v>1</v>
      </c>
      <c r="G238">
        <v>1</v>
      </c>
      <c r="H238">
        <v>3</v>
      </c>
      <c r="I238" t="s">
        <v>870</v>
      </c>
      <c r="J238" t="s">
        <v>871</v>
      </c>
      <c r="K238" t="s">
        <v>872</v>
      </c>
      <c r="L238">
        <v>1301</v>
      </c>
      <c r="N238">
        <v>1003</v>
      </c>
      <c r="O238" t="s">
        <v>208</v>
      </c>
      <c r="P238" t="s">
        <v>208</v>
      </c>
      <c r="Q238">
        <v>1</v>
      </c>
      <c r="X238">
        <v>46</v>
      </c>
      <c r="Y238">
        <v>3.23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F238" t="s">
        <v>3</v>
      </c>
      <c r="AG238">
        <v>46</v>
      </c>
      <c r="AH238">
        <v>2</v>
      </c>
      <c r="AI238">
        <v>48371818</v>
      </c>
      <c r="AJ238">
        <v>237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>
      <c r="A239">
        <f>ROW(Source!A141)</f>
        <v>141</v>
      </c>
      <c r="B239">
        <v>48371878</v>
      </c>
      <c r="C239">
        <v>48371877</v>
      </c>
      <c r="D239">
        <v>23129555</v>
      </c>
      <c r="E239">
        <v>1</v>
      </c>
      <c r="F239">
        <v>1</v>
      </c>
      <c r="G239">
        <v>1</v>
      </c>
      <c r="H239">
        <v>1</v>
      </c>
      <c r="I239" t="s">
        <v>560</v>
      </c>
      <c r="J239" t="s">
        <v>3</v>
      </c>
      <c r="K239" t="s">
        <v>561</v>
      </c>
      <c r="L239">
        <v>1369</v>
      </c>
      <c r="N239">
        <v>1013</v>
      </c>
      <c r="O239" t="s">
        <v>510</v>
      </c>
      <c r="P239" t="s">
        <v>510</v>
      </c>
      <c r="Q239">
        <v>1</v>
      </c>
      <c r="X239">
        <v>11.39</v>
      </c>
      <c r="Y239">
        <v>0</v>
      </c>
      <c r="Z239">
        <v>0</v>
      </c>
      <c r="AA239">
        <v>0</v>
      </c>
      <c r="AB239">
        <v>7.29</v>
      </c>
      <c r="AC239">
        <v>0</v>
      </c>
      <c r="AD239">
        <v>1</v>
      </c>
      <c r="AE239">
        <v>1</v>
      </c>
      <c r="AF239" t="s">
        <v>3</v>
      </c>
      <c r="AG239">
        <v>11.39</v>
      </c>
      <c r="AH239">
        <v>2</v>
      </c>
      <c r="AI239">
        <v>48371878</v>
      </c>
      <c r="AJ239">
        <v>238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>
      <c r="A240">
        <f>ROW(Source!A141)</f>
        <v>141</v>
      </c>
      <c r="B240">
        <v>48371879</v>
      </c>
      <c r="C240">
        <v>48371877</v>
      </c>
      <c r="D240">
        <v>121548</v>
      </c>
      <c r="E240">
        <v>1</v>
      </c>
      <c r="F240">
        <v>1</v>
      </c>
      <c r="G240">
        <v>1</v>
      </c>
      <c r="H240">
        <v>1</v>
      </c>
      <c r="I240" t="s">
        <v>24</v>
      </c>
      <c r="J240" t="s">
        <v>3</v>
      </c>
      <c r="K240" t="s">
        <v>511</v>
      </c>
      <c r="L240">
        <v>608254</v>
      </c>
      <c r="N240">
        <v>1013</v>
      </c>
      <c r="O240" t="s">
        <v>512</v>
      </c>
      <c r="P240" t="s">
        <v>512</v>
      </c>
      <c r="Q240">
        <v>1</v>
      </c>
      <c r="X240">
        <v>0.13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2</v>
      </c>
      <c r="AF240" t="s">
        <v>3</v>
      </c>
      <c r="AG240">
        <v>0.13</v>
      </c>
      <c r="AH240">
        <v>2</v>
      </c>
      <c r="AI240">
        <v>48371879</v>
      </c>
      <c r="AJ240">
        <v>239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>
      <c r="A241">
        <f>ROW(Source!A141)</f>
        <v>141</v>
      </c>
      <c r="B241">
        <v>48371880</v>
      </c>
      <c r="C241">
        <v>48371877</v>
      </c>
      <c r="D241">
        <v>37802578</v>
      </c>
      <c r="E241">
        <v>1</v>
      </c>
      <c r="F241">
        <v>1</v>
      </c>
      <c r="G241">
        <v>1</v>
      </c>
      <c r="H241">
        <v>2</v>
      </c>
      <c r="I241" t="s">
        <v>550</v>
      </c>
      <c r="J241" t="s">
        <v>551</v>
      </c>
      <c r="K241" t="s">
        <v>552</v>
      </c>
      <c r="L241">
        <v>1368</v>
      </c>
      <c r="N241">
        <v>1011</v>
      </c>
      <c r="O241" t="s">
        <v>516</v>
      </c>
      <c r="P241" t="s">
        <v>516</v>
      </c>
      <c r="Q241">
        <v>1</v>
      </c>
      <c r="X241">
        <v>0.13</v>
      </c>
      <c r="Y241">
        <v>0</v>
      </c>
      <c r="Z241">
        <v>32.090000000000003</v>
      </c>
      <c r="AA241">
        <v>12.1</v>
      </c>
      <c r="AB241">
        <v>0</v>
      </c>
      <c r="AC241">
        <v>0</v>
      </c>
      <c r="AD241">
        <v>1</v>
      </c>
      <c r="AE241">
        <v>0</v>
      </c>
      <c r="AF241" t="s">
        <v>3</v>
      </c>
      <c r="AG241">
        <v>0.13</v>
      </c>
      <c r="AH241">
        <v>2</v>
      </c>
      <c r="AI241">
        <v>48371880</v>
      </c>
      <c r="AJ241">
        <v>240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>
      <c r="A242">
        <f>ROW(Source!A141)</f>
        <v>141</v>
      </c>
      <c r="B242">
        <v>48371881</v>
      </c>
      <c r="C242">
        <v>48371877</v>
      </c>
      <c r="D242">
        <v>37792787</v>
      </c>
      <c r="E242">
        <v>1</v>
      </c>
      <c r="F242">
        <v>1</v>
      </c>
      <c r="G242">
        <v>1</v>
      </c>
      <c r="H242">
        <v>3</v>
      </c>
      <c r="I242" t="s">
        <v>555</v>
      </c>
      <c r="J242" t="s">
        <v>556</v>
      </c>
      <c r="K242" t="s">
        <v>557</v>
      </c>
      <c r="L242">
        <v>1348</v>
      </c>
      <c r="N242">
        <v>1009</v>
      </c>
      <c r="O242" t="s">
        <v>536</v>
      </c>
      <c r="P242" t="s">
        <v>536</v>
      </c>
      <c r="Q242">
        <v>1000</v>
      </c>
      <c r="X242">
        <v>0.47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 t="s">
        <v>3</v>
      </c>
      <c r="AG242">
        <v>0.47</v>
      </c>
      <c r="AH242">
        <v>2</v>
      </c>
      <c r="AI242">
        <v>48371881</v>
      </c>
      <c r="AJ242">
        <v>241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>
      <c r="A243">
        <f>ROW(Source!A142)</f>
        <v>142</v>
      </c>
      <c r="B243">
        <v>48372015</v>
      </c>
      <c r="C243">
        <v>48372012</v>
      </c>
      <c r="D243">
        <v>23129555</v>
      </c>
      <c r="E243">
        <v>1</v>
      </c>
      <c r="F243">
        <v>1</v>
      </c>
      <c r="G243">
        <v>1</v>
      </c>
      <c r="H243">
        <v>1</v>
      </c>
      <c r="I243" t="s">
        <v>560</v>
      </c>
      <c r="J243" t="s">
        <v>3</v>
      </c>
      <c r="K243" t="s">
        <v>561</v>
      </c>
      <c r="L243">
        <v>1369</v>
      </c>
      <c r="N243">
        <v>1013</v>
      </c>
      <c r="O243" t="s">
        <v>510</v>
      </c>
      <c r="P243" t="s">
        <v>510</v>
      </c>
      <c r="Q243">
        <v>1</v>
      </c>
      <c r="X243">
        <v>3.77</v>
      </c>
      <c r="Y243">
        <v>0</v>
      </c>
      <c r="Z243">
        <v>0</v>
      </c>
      <c r="AA243">
        <v>0</v>
      </c>
      <c r="AB243">
        <v>7.29</v>
      </c>
      <c r="AC243">
        <v>0</v>
      </c>
      <c r="AD243">
        <v>1</v>
      </c>
      <c r="AE243">
        <v>1</v>
      </c>
      <c r="AF243" t="s">
        <v>3</v>
      </c>
      <c r="AG243">
        <v>3.77</v>
      </c>
      <c r="AH243">
        <v>2</v>
      </c>
      <c r="AI243">
        <v>48372013</v>
      </c>
      <c r="AJ243">
        <v>242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>
      <c r="A244">
        <f>ROW(Source!A142)</f>
        <v>142</v>
      </c>
      <c r="B244">
        <v>48372016</v>
      </c>
      <c r="C244">
        <v>48372012</v>
      </c>
      <c r="D244">
        <v>37792787</v>
      </c>
      <c r="E244">
        <v>1</v>
      </c>
      <c r="F244">
        <v>1</v>
      </c>
      <c r="G244">
        <v>1</v>
      </c>
      <c r="H244">
        <v>3</v>
      </c>
      <c r="I244" t="s">
        <v>555</v>
      </c>
      <c r="J244" t="s">
        <v>556</v>
      </c>
      <c r="K244" t="s">
        <v>557</v>
      </c>
      <c r="L244">
        <v>1348</v>
      </c>
      <c r="N244">
        <v>1009</v>
      </c>
      <c r="O244" t="s">
        <v>536</v>
      </c>
      <c r="P244" t="s">
        <v>536</v>
      </c>
      <c r="Q244">
        <v>1000</v>
      </c>
      <c r="X244">
        <v>0.11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 t="s">
        <v>3</v>
      </c>
      <c r="AG244">
        <v>0.11</v>
      </c>
      <c r="AH244">
        <v>2</v>
      </c>
      <c r="AI244">
        <v>48372014</v>
      </c>
      <c r="AJ244">
        <v>243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>
      <c r="A245">
        <f>ROW(Source!A143)</f>
        <v>143</v>
      </c>
      <c r="B245">
        <v>48371885</v>
      </c>
      <c r="C245">
        <v>48371884</v>
      </c>
      <c r="D245">
        <v>23241114</v>
      </c>
      <c r="E245">
        <v>1</v>
      </c>
      <c r="F245">
        <v>1</v>
      </c>
      <c r="G245">
        <v>1</v>
      </c>
      <c r="H245">
        <v>1</v>
      </c>
      <c r="I245" t="s">
        <v>873</v>
      </c>
      <c r="J245" t="s">
        <v>3</v>
      </c>
      <c r="K245" t="s">
        <v>874</v>
      </c>
      <c r="L245">
        <v>1369</v>
      </c>
      <c r="N245">
        <v>1013</v>
      </c>
      <c r="O245" t="s">
        <v>510</v>
      </c>
      <c r="P245" t="s">
        <v>510</v>
      </c>
      <c r="Q245">
        <v>1</v>
      </c>
      <c r="X245">
        <v>12.3</v>
      </c>
      <c r="Y245">
        <v>0</v>
      </c>
      <c r="Z245">
        <v>0</v>
      </c>
      <c r="AA245">
        <v>0</v>
      </c>
      <c r="AB245">
        <v>7.06</v>
      </c>
      <c r="AC245">
        <v>0</v>
      </c>
      <c r="AD245">
        <v>1</v>
      </c>
      <c r="AE245">
        <v>1</v>
      </c>
      <c r="AF245" t="s">
        <v>3</v>
      </c>
      <c r="AG245">
        <v>12.3</v>
      </c>
      <c r="AH245">
        <v>2</v>
      </c>
      <c r="AI245">
        <v>48371885</v>
      </c>
      <c r="AJ245">
        <v>244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>
      <c r="A246">
        <f>ROW(Source!A143)</f>
        <v>143</v>
      </c>
      <c r="B246">
        <v>48371886</v>
      </c>
      <c r="C246">
        <v>48371884</v>
      </c>
      <c r="D246">
        <v>121548</v>
      </c>
      <c r="E246">
        <v>1</v>
      </c>
      <c r="F246">
        <v>1</v>
      </c>
      <c r="G246">
        <v>1</v>
      </c>
      <c r="H246">
        <v>1</v>
      </c>
      <c r="I246" t="s">
        <v>24</v>
      </c>
      <c r="J246" t="s">
        <v>3</v>
      </c>
      <c r="K246" t="s">
        <v>511</v>
      </c>
      <c r="L246">
        <v>608254</v>
      </c>
      <c r="N246">
        <v>1013</v>
      </c>
      <c r="O246" t="s">
        <v>512</v>
      </c>
      <c r="P246" t="s">
        <v>512</v>
      </c>
      <c r="Q246">
        <v>1</v>
      </c>
      <c r="X246">
        <v>0.45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2</v>
      </c>
      <c r="AF246" t="s">
        <v>3</v>
      </c>
      <c r="AG246">
        <v>0.45</v>
      </c>
      <c r="AH246">
        <v>2</v>
      </c>
      <c r="AI246">
        <v>48371886</v>
      </c>
      <c r="AJ246">
        <v>245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>
      <c r="A247">
        <f>ROW(Source!A143)</f>
        <v>143</v>
      </c>
      <c r="B247">
        <v>48371887</v>
      </c>
      <c r="C247">
        <v>48371884</v>
      </c>
      <c r="D247">
        <v>37802443</v>
      </c>
      <c r="E247">
        <v>1</v>
      </c>
      <c r="F247">
        <v>1</v>
      </c>
      <c r="G247">
        <v>1</v>
      </c>
      <c r="H247">
        <v>2</v>
      </c>
      <c r="I247" t="s">
        <v>586</v>
      </c>
      <c r="J247" t="s">
        <v>587</v>
      </c>
      <c r="K247" t="s">
        <v>588</v>
      </c>
      <c r="L247">
        <v>1368</v>
      </c>
      <c r="N247">
        <v>1011</v>
      </c>
      <c r="O247" t="s">
        <v>516</v>
      </c>
      <c r="P247" t="s">
        <v>516</v>
      </c>
      <c r="Q247">
        <v>1</v>
      </c>
      <c r="X247">
        <v>0.45</v>
      </c>
      <c r="Y247">
        <v>0</v>
      </c>
      <c r="Z247">
        <v>124.14</v>
      </c>
      <c r="AA247">
        <v>12.1</v>
      </c>
      <c r="AB247">
        <v>0</v>
      </c>
      <c r="AC247">
        <v>0</v>
      </c>
      <c r="AD247">
        <v>1</v>
      </c>
      <c r="AE247">
        <v>0</v>
      </c>
      <c r="AF247" t="s">
        <v>3</v>
      </c>
      <c r="AG247">
        <v>0.45</v>
      </c>
      <c r="AH247">
        <v>2</v>
      </c>
      <c r="AI247">
        <v>48371887</v>
      </c>
      <c r="AJ247">
        <v>246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>
      <c r="A248">
        <f>ROW(Source!A143)</f>
        <v>143</v>
      </c>
      <c r="B248">
        <v>48371888</v>
      </c>
      <c r="C248">
        <v>48371884</v>
      </c>
      <c r="D248">
        <v>37792787</v>
      </c>
      <c r="E248">
        <v>1</v>
      </c>
      <c r="F248">
        <v>1</v>
      </c>
      <c r="G248">
        <v>1</v>
      </c>
      <c r="H248">
        <v>3</v>
      </c>
      <c r="I248" t="s">
        <v>555</v>
      </c>
      <c r="J248" t="s">
        <v>556</v>
      </c>
      <c r="K248" t="s">
        <v>557</v>
      </c>
      <c r="L248">
        <v>1348</v>
      </c>
      <c r="N248">
        <v>1009</v>
      </c>
      <c r="O248" t="s">
        <v>536</v>
      </c>
      <c r="P248" t="s">
        <v>536</v>
      </c>
      <c r="Q248">
        <v>1000</v>
      </c>
      <c r="X248">
        <v>0.94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 t="s">
        <v>3</v>
      </c>
      <c r="AG248">
        <v>0.94</v>
      </c>
      <c r="AH248">
        <v>2</v>
      </c>
      <c r="AI248">
        <v>48371888</v>
      </c>
      <c r="AJ248">
        <v>247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>
      <c r="A249">
        <f>ROW(Source!A144)</f>
        <v>144</v>
      </c>
      <c r="B249">
        <v>48371893</v>
      </c>
      <c r="C249">
        <v>48371889</v>
      </c>
      <c r="D249">
        <v>23132616</v>
      </c>
      <c r="E249">
        <v>1</v>
      </c>
      <c r="F249">
        <v>1</v>
      </c>
      <c r="G249">
        <v>1</v>
      </c>
      <c r="H249">
        <v>1</v>
      </c>
      <c r="I249" t="s">
        <v>558</v>
      </c>
      <c r="J249" t="s">
        <v>3</v>
      </c>
      <c r="K249" t="s">
        <v>559</v>
      </c>
      <c r="L249">
        <v>1369</v>
      </c>
      <c r="N249">
        <v>1013</v>
      </c>
      <c r="O249" t="s">
        <v>510</v>
      </c>
      <c r="P249" t="s">
        <v>510</v>
      </c>
      <c r="Q249">
        <v>1</v>
      </c>
      <c r="X249">
        <v>103.91</v>
      </c>
      <c r="Y249">
        <v>0</v>
      </c>
      <c r="Z249">
        <v>0</v>
      </c>
      <c r="AA249">
        <v>0</v>
      </c>
      <c r="AB249">
        <v>7.56</v>
      </c>
      <c r="AC249">
        <v>0</v>
      </c>
      <c r="AD249">
        <v>1</v>
      </c>
      <c r="AE249">
        <v>1</v>
      </c>
      <c r="AF249" t="s">
        <v>3</v>
      </c>
      <c r="AG249">
        <v>103.91</v>
      </c>
      <c r="AH249">
        <v>2</v>
      </c>
      <c r="AI249">
        <v>48371890</v>
      </c>
      <c r="AJ249">
        <v>248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>
      <c r="A250">
        <f>ROW(Source!A144)</f>
        <v>144</v>
      </c>
      <c r="B250">
        <v>48371894</v>
      </c>
      <c r="C250">
        <v>48371889</v>
      </c>
      <c r="D250">
        <v>121548</v>
      </c>
      <c r="E250">
        <v>1</v>
      </c>
      <c r="F250">
        <v>1</v>
      </c>
      <c r="G250">
        <v>1</v>
      </c>
      <c r="H250">
        <v>1</v>
      </c>
      <c r="I250" t="s">
        <v>24</v>
      </c>
      <c r="J250" t="s">
        <v>3</v>
      </c>
      <c r="K250" t="s">
        <v>511</v>
      </c>
      <c r="L250">
        <v>608254</v>
      </c>
      <c r="N250">
        <v>1013</v>
      </c>
      <c r="O250" t="s">
        <v>512</v>
      </c>
      <c r="P250" t="s">
        <v>512</v>
      </c>
      <c r="Q250">
        <v>1</v>
      </c>
      <c r="X250">
        <v>7.74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2</v>
      </c>
      <c r="AF250" t="s">
        <v>3</v>
      </c>
      <c r="AG250">
        <v>7.74</v>
      </c>
      <c r="AH250">
        <v>2</v>
      </c>
      <c r="AI250">
        <v>48371891</v>
      </c>
      <c r="AJ250">
        <v>249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>
      <c r="A251">
        <f>ROW(Source!A144)</f>
        <v>144</v>
      </c>
      <c r="B251">
        <v>48371895</v>
      </c>
      <c r="C251">
        <v>48371889</v>
      </c>
      <c r="D251">
        <v>37802578</v>
      </c>
      <c r="E251">
        <v>1</v>
      </c>
      <c r="F251">
        <v>1</v>
      </c>
      <c r="G251">
        <v>1</v>
      </c>
      <c r="H251">
        <v>2</v>
      </c>
      <c r="I251" t="s">
        <v>550</v>
      </c>
      <c r="J251" t="s">
        <v>551</v>
      </c>
      <c r="K251" t="s">
        <v>552</v>
      </c>
      <c r="L251">
        <v>1368</v>
      </c>
      <c r="N251">
        <v>1011</v>
      </c>
      <c r="O251" t="s">
        <v>516</v>
      </c>
      <c r="P251" t="s">
        <v>516</v>
      </c>
      <c r="Q251">
        <v>1</v>
      </c>
      <c r="X251">
        <v>7.74</v>
      </c>
      <c r="Y251">
        <v>0</v>
      </c>
      <c r="Z251">
        <v>32.090000000000003</v>
      </c>
      <c r="AA251">
        <v>12.1</v>
      </c>
      <c r="AB251">
        <v>0</v>
      </c>
      <c r="AC251">
        <v>0</v>
      </c>
      <c r="AD251">
        <v>1</v>
      </c>
      <c r="AE251">
        <v>0</v>
      </c>
      <c r="AF251" t="s">
        <v>3</v>
      </c>
      <c r="AG251">
        <v>7.74</v>
      </c>
      <c r="AH251">
        <v>2</v>
      </c>
      <c r="AI251">
        <v>48371892</v>
      </c>
      <c r="AJ251">
        <v>250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>
      <c r="A252">
        <f>ROW(Source!A145)</f>
        <v>145</v>
      </c>
      <c r="B252">
        <v>48371910</v>
      </c>
      <c r="C252">
        <v>48371909</v>
      </c>
      <c r="D252">
        <v>23129555</v>
      </c>
      <c r="E252">
        <v>1</v>
      </c>
      <c r="F252">
        <v>1</v>
      </c>
      <c r="G252">
        <v>1</v>
      </c>
      <c r="H252">
        <v>1</v>
      </c>
      <c r="I252" t="s">
        <v>560</v>
      </c>
      <c r="J252" t="s">
        <v>3</v>
      </c>
      <c r="K252" t="s">
        <v>561</v>
      </c>
      <c r="L252">
        <v>1369</v>
      </c>
      <c r="N252">
        <v>1013</v>
      </c>
      <c r="O252" t="s">
        <v>510</v>
      </c>
      <c r="P252" t="s">
        <v>510</v>
      </c>
      <c r="Q252">
        <v>1</v>
      </c>
      <c r="X252">
        <v>20.8</v>
      </c>
      <c r="Y252">
        <v>0</v>
      </c>
      <c r="Z252">
        <v>0</v>
      </c>
      <c r="AA252">
        <v>0</v>
      </c>
      <c r="AB252">
        <v>7.29</v>
      </c>
      <c r="AC252">
        <v>0</v>
      </c>
      <c r="AD252">
        <v>1</v>
      </c>
      <c r="AE252">
        <v>1</v>
      </c>
      <c r="AF252" t="s">
        <v>3</v>
      </c>
      <c r="AG252">
        <v>20.8</v>
      </c>
      <c r="AH252">
        <v>2</v>
      </c>
      <c r="AI252">
        <v>48371910</v>
      </c>
      <c r="AJ252">
        <v>251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>
      <c r="A253">
        <f>ROW(Source!A146)</f>
        <v>146</v>
      </c>
      <c r="B253">
        <v>48371914</v>
      </c>
      <c r="C253">
        <v>48371912</v>
      </c>
      <c r="D253">
        <v>23129555</v>
      </c>
      <c r="E253">
        <v>1</v>
      </c>
      <c r="F253">
        <v>1</v>
      </c>
      <c r="G253">
        <v>1</v>
      </c>
      <c r="H253">
        <v>1</v>
      </c>
      <c r="I253" t="s">
        <v>560</v>
      </c>
      <c r="J253" t="s">
        <v>3</v>
      </c>
      <c r="K253" t="s">
        <v>561</v>
      </c>
      <c r="L253">
        <v>1369</v>
      </c>
      <c r="N253">
        <v>1013</v>
      </c>
      <c r="O253" t="s">
        <v>510</v>
      </c>
      <c r="P253" t="s">
        <v>510</v>
      </c>
      <c r="Q253">
        <v>1</v>
      </c>
      <c r="X253">
        <v>20.8</v>
      </c>
      <c r="Y253">
        <v>0</v>
      </c>
      <c r="Z253">
        <v>0</v>
      </c>
      <c r="AA253">
        <v>0</v>
      </c>
      <c r="AB253">
        <v>7.29</v>
      </c>
      <c r="AC253">
        <v>0</v>
      </c>
      <c r="AD253">
        <v>1</v>
      </c>
      <c r="AE253">
        <v>1</v>
      </c>
      <c r="AF253" t="s">
        <v>3</v>
      </c>
      <c r="AG253">
        <v>20.8</v>
      </c>
      <c r="AH253">
        <v>2</v>
      </c>
      <c r="AI253">
        <v>48371913</v>
      </c>
      <c r="AJ253">
        <v>252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>
      <c r="A254">
        <f>ROW(Source!A147)</f>
        <v>147</v>
      </c>
      <c r="B254">
        <v>48372796</v>
      </c>
      <c r="C254">
        <v>48372791</v>
      </c>
      <c r="D254">
        <v>23129805</v>
      </c>
      <c r="E254">
        <v>1</v>
      </c>
      <c r="F254">
        <v>1</v>
      </c>
      <c r="G254">
        <v>1</v>
      </c>
      <c r="H254">
        <v>1</v>
      </c>
      <c r="I254" t="s">
        <v>553</v>
      </c>
      <c r="J254" t="s">
        <v>3</v>
      </c>
      <c r="K254" t="s">
        <v>554</v>
      </c>
      <c r="L254">
        <v>1369</v>
      </c>
      <c r="N254">
        <v>1013</v>
      </c>
      <c r="O254" t="s">
        <v>510</v>
      </c>
      <c r="P254" t="s">
        <v>510</v>
      </c>
      <c r="Q254">
        <v>1</v>
      </c>
      <c r="X254">
        <v>51.3</v>
      </c>
      <c r="Y254">
        <v>0</v>
      </c>
      <c r="Z254">
        <v>0</v>
      </c>
      <c r="AA254">
        <v>0</v>
      </c>
      <c r="AB254">
        <v>7.97</v>
      </c>
      <c r="AC254">
        <v>0</v>
      </c>
      <c r="AD254">
        <v>1</v>
      </c>
      <c r="AE254">
        <v>1</v>
      </c>
      <c r="AF254" t="s">
        <v>3</v>
      </c>
      <c r="AG254">
        <v>51.3</v>
      </c>
      <c r="AH254">
        <v>2</v>
      </c>
      <c r="AI254">
        <v>48372792</v>
      </c>
      <c r="AJ254">
        <v>253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>
      <c r="A255">
        <f>ROW(Source!A147)</f>
        <v>147</v>
      </c>
      <c r="B255">
        <v>48372797</v>
      </c>
      <c r="C255">
        <v>48372791</v>
      </c>
      <c r="D255">
        <v>121548</v>
      </c>
      <c r="E255">
        <v>1</v>
      </c>
      <c r="F255">
        <v>1</v>
      </c>
      <c r="G255">
        <v>1</v>
      </c>
      <c r="H255">
        <v>1</v>
      </c>
      <c r="I255" t="s">
        <v>24</v>
      </c>
      <c r="J255" t="s">
        <v>3</v>
      </c>
      <c r="K255" t="s">
        <v>511</v>
      </c>
      <c r="L255">
        <v>608254</v>
      </c>
      <c r="N255">
        <v>1013</v>
      </c>
      <c r="O255" t="s">
        <v>512</v>
      </c>
      <c r="P255" t="s">
        <v>512</v>
      </c>
      <c r="Q255">
        <v>1</v>
      </c>
      <c r="X255">
        <v>0.26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1</v>
      </c>
      <c r="AE255">
        <v>2</v>
      </c>
      <c r="AF255" t="s">
        <v>3</v>
      </c>
      <c r="AG255">
        <v>0.26</v>
      </c>
      <c r="AH255">
        <v>2</v>
      </c>
      <c r="AI255">
        <v>48372793</v>
      </c>
      <c r="AJ255">
        <v>254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>
      <c r="A256">
        <f>ROW(Source!A147)</f>
        <v>147</v>
      </c>
      <c r="B256">
        <v>48372798</v>
      </c>
      <c r="C256">
        <v>48372791</v>
      </c>
      <c r="D256">
        <v>37802578</v>
      </c>
      <c r="E256">
        <v>1</v>
      </c>
      <c r="F256">
        <v>1</v>
      </c>
      <c r="G256">
        <v>1</v>
      </c>
      <c r="H256">
        <v>2</v>
      </c>
      <c r="I256" t="s">
        <v>550</v>
      </c>
      <c r="J256" t="s">
        <v>551</v>
      </c>
      <c r="K256" t="s">
        <v>552</v>
      </c>
      <c r="L256">
        <v>1368</v>
      </c>
      <c r="N256">
        <v>1011</v>
      </c>
      <c r="O256" t="s">
        <v>516</v>
      </c>
      <c r="P256" t="s">
        <v>516</v>
      </c>
      <c r="Q256">
        <v>1</v>
      </c>
      <c r="X256">
        <v>0.26</v>
      </c>
      <c r="Y256">
        <v>0</v>
      </c>
      <c r="Z256">
        <v>32.090000000000003</v>
      </c>
      <c r="AA256">
        <v>12.1</v>
      </c>
      <c r="AB256">
        <v>0</v>
      </c>
      <c r="AC256">
        <v>0</v>
      </c>
      <c r="AD256">
        <v>1</v>
      </c>
      <c r="AE256">
        <v>0</v>
      </c>
      <c r="AF256" t="s">
        <v>3</v>
      </c>
      <c r="AG256">
        <v>0.26</v>
      </c>
      <c r="AH256">
        <v>2</v>
      </c>
      <c r="AI256">
        <v>48372794</v>
      </c>
      <c r="AJ256">
        <v>255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>
      <c r="A257">
        <f>ROW(Source!A147)</f>
        <v>147</v>
      </c>
      <c r="B257">
        <v>48372799</v>
      </c>
      <c r="C257">
        <v>48372791</v>
      </c>
      <c r="D257">
        <v>37792788</v>
      </c>
      <c r="E257">
        <v>1</v>
      </c>
      <c r="F257">
        <v>1</v>
      </c>
      <c r="G257">
        <v>1</v>
      </c>
      <c r="H257">
        <v>3</v>
      </c>
      <c r="I257" t="s">
        <v>564</v>
      </c>
      <c r="J257" t="s">
        <v>565</v>
      </c>
      <c r="K257" t="s">
        <v>566</v>
      </c>
      <c r="L257">
        <v>1348</v>
      </c>
      <c r="N257">
        <v>1009</v>
      </c>
      <c r="O257" t="s">
        <v>536</v>
      </c>
      <c r="P257" t="s">
        <v>536</v>
      </c>
      <c r="Q257">
        <v>1000</v>
      </c>
      <c r="X257">
        <v>1.82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 t="s">
        <v>3</v>
      </c>
      <c r="AG257">
        <v>1.82</v>
      </c>
      <c r="AH257">
        <v>2</v>
      </c>
      <c r="AI257">
        <v>48372795</v>
      </c>
      <c r="AJ257">
        <v>256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>
      <c r="A258">
        <f>ROW(Source!A149)</f>
        <v>149</v>
      </c>
      <c r="B258">
        <v>48372025</v>
      </c>
      <c r="C258">
        <v>48372024</v>
      </c>
      <c r="D258">
        <v>23136905</v>
      </c>
      <c r="E258">
        <v>1</v>
      </c>
      <c r="F258">
        <v>1</v>
      </c>
      <c r="G258">
        <v>1</v>
      </c>
      <c r="H258">
        <v>1</v>
      </c>
      <c r="I258" t="s">
        <v>648</v>
      </c>
      <c r="J258" t="s">
        <v>3</v>
      </c>
      <c r="K258" t="s">
        <v>649</v>
      </c>
      <c r="L258">
        <v>1369</v>
      </c>
      <c r="N258">
        <v>1013</v>
      </c>
      <c r="O258" t="s">
        <v>510</v>
      </c>
      <c r="P258" t="s">
        <v>510</v>
      </c>
      <c r="Q258">
        <v>1</v>
      </c>
      <c r="X258">
        <v>51.89</v>
      </c>
      <c r="Y258">
        <v>0</v>
      </c>
      <c r="Z258">
        <v>0</v>
      </c>
      <c r="AA258">
        <v>0</v>
      </c>
      <c r="AB258">
        <v>8.58</v>
      </c>
      <c r="AC258">
        <v>0</v>
      </c>
      <c r="AD258">
        <v>1</v>
      </c>
      <c r="AE258">
        <v>1</v>
      </c>
      <c r="AF258" t="s">
        <v>161</v>
      </c>
      <c r="AG258">
        <v>59.673499999999997</v>
      </c>
      <c r="AH258">
        <v>2</v>
      </c>
      <c r="AI258">
        <v>48372025</v>
      </c>
      <c r="AJ258">
        <v>257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>
      <c r="A259">
        <f>ROW(Source!A149)</f>
        <v>149</v>
      </c>
      <c r="B259">
        <v>48372026</v>
      </c>
      <c r="C259">
        <v>48372024</v>
      </c>
      <c r="D259">
        <v>121548</v>
      </c>
      <c r="E259">
        <v>1</v>
      </c>
      <c r="F259">
        <v>1</v>
      </c>
      <c r="G259">
        <v>1</v>
      </c>
      <c r="H259">
        <v>1</v>
      </c>
      <c r="I259" t="s">
        <v>24</v>
      </c>
      <c r="J259" t="s">
        <v>3</v>
      </c>
      <c r="K259" t="s">
        <v>511</v>
      </c>
      <c r="L259">
        <v>608254</v>
      </c>
      <c r="N259">
        <v>1013</v>
      </c>
      <c r="O259" t="s">
        <v>512</v>
      </c>
      <c r="P259" t="s">
        <v>512</v>
      </c>
      <c r="Q259">
        <v>1</v>
      </c>
      <c r="X259">
        <v>1.87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1</v>
      </c>
      <c r="AE259">
        <v>2</v>
      </c>
      <c r="AF259" t="s">
        <v>160</v>
      </c>
      <c r="AG259">
        <v>2.3375000000000004</v>
      </c>
      <c r="AH259">
        <v>2</v>
      </c>
      <c r="AI259">
        <v>48372026</v>
      </c>
      <c r="AJ259">
        <v>258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>
      <c r="A260">
        <f>ROW(Source!A149)</f>
        <v>149</v>
      </c>
      <c r="B260">
        <v>48372027</v>
      </c>
      <c r="C260">
        <v>48372024</v>
      </c>
      <c r="D260">
        <v>37802515</v>
      </c>
      <c r="E260">
        <v>1</v>
      </c>
      <c r="F260">
        <v>1</v>
      </c>
      <c r="G260">
        <v>1</v>
      </c>
      <c r="H260">
        <v>2</v>
      </c>
      <c r="I260" t="s">
        <v>650</v>
      </c>
      <c r="J260" t="s">
        <v>651</v>
      </c>
      <c r="K260" t="s">
        <v>652</v>
      </c>
      <c r="L260">
        <v>1368</v>
      </c>
      <c r="N260">
        <v>1011</v>
      </c>
      <c r="O260" t="s">
        <v>516</v>
      </c>
      <c r="P260" t="s">
        <v>516</v>
      </c>
      <c r="Q260">
        <v>1</v>
      </c>
      <c r="X260">
        <v>0.04</v>
      </c>
      <c r="Y260">
        <v>0</v>
      </c>
      <c r="Z260">
        <v>87.24</v>
      </c>
      <c r="AA260">
        <v>9</v>
      </c>
      <c r="AB260">
        <v>0</v>
      </c>
      <c r="AC260">
        <v>0</v>
      </c>
      <c r="AD260">
        <v>1</v>
      </c>
      <c r="AE260">
        <v>0</v>
      </c>
      <c r="AF260" t="s">
        <v>160</v>
      </c>
      <c r="AG260">
        <v>0.05</v>
      </c>
      <c r="AH260">
        <v>2</v>
      </c>
      <c r="AI260">
        <v>48372027</v>
      </c>
      <c r="AJ260">
        <v>259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>
      <c r="A261">
        <f>ROW(Source!A149)</f>
        <v>149</v>
      </c>
      <c r="B261">
        <v>48372028</v>
      </c>
      <c r="C261">
        <v>48372024</v>
      </c>
      <c r="D261">
        <v>37802578</v>
      </c>
      <c r="E261">
        <v>1</v>
      </c>
      <c r="F261">
        <v>1</v>
      </c>
      <c r="G261">
        <v>1</v>
      </c>
      <c r="H261">
        <v>2</v>
      </c>
      <c r="I261" t="s">
        <v>550</v>
      </c>
      <c r="J261" t="s">
        <v>551</v>
      </c>
      <c r="K261" t="s">
        <v>552</v>
      </c>
      <c r="L261">
        <v>1368</v>
      </c>
      <c r="N261">
        <v>1011</v>
      </c>
      <c r="O261" t="s">
        <v>516</v>
      </c>
      <c r="P261" t="s">
        <v>516</v>
      </c>
      <c r="Q261">
        <v>1</v>
      </c>
      <c r="X261">
        <v>0.16</v>
      </c>
      <c r="Y261">
        <v>0</v>
      </c>
      <c r="Z261">
        <v>32.090000000000003</v>
      </c>
      <c r="AA261">
        <v>12.1</v>
      </c>
      <c r="AB261">
        <v>0</v>
      </c>
      <c r="AC261">
        <v>0</v>
      </c>
      <c r="AD261">
        <v>1</v>
      </c>
      <c r="AE261">
        <v>0</v>
      </c>
      <c r="AF261" t="s">
        <v>160</v>
      </c>
      <c r="AG261">
        <v>0.2</v>
      </c>
      <c r="AH261">
        <v>2</v>
      </c>
      <c r="AI261">
        <v>48372028</v>
      </c>
      <c r="AJ261">
        <v>260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>
      <c r="A262">
        <f>ROW(Source!A149)</f>
        <v>149</v>
      </c>
      <c r="B262">
        <v>48372029</v>
      </c>
      <c r="C262">
        <v>48372024</v>
      </c>
      <c r="D262">
        <v>37802992</v>
      </c>
      <c r="E262">
        <v>1</v>
      </c>
      <c r="F262">
        <v>1</v>
      </c>
      <c r="G262">
        <v>1</v>
      </c>
      <c r="H262">
        <v>2</v>
      </c>
      <c r="I262" t="s">
        <v>653</v>
      </c>
      <c r="J262" t="s">
        <v>654</v>
      </c>
      <c r="K262" t="s">
        <v>655</v>
      </c>
      <c r="L262">
        <v>1368</v>
      </c>
      <c r="N262">
        <v>1011</v>
      </c>
      <c r="O262" t="s">
        <v>516</v>
      </c>
      <c r="P262" t="s">
        <v>516</v>
      </c>
      <c r="Q262">
        <v>1</v>
      </c>
      <c r="X262">
        <v>1.67</v>
      </c>
      <c r="Y262">
        <v>0</v>
      </c>
      <c r="Z262">
        <v>11.32</v>
      </c>
      <c r="AA262">
        <v>9</v>
      </c>
      <c r="AB262">
        <v>0</v>
      </c>
      <c r="AC262">
        <v>0</v>
      </c>
      <c r="AD262">
        <v>1</v>
      </c>
      <c r="AE262">
        <v>0</v>
      </c>
      <c r="AF262" t="s">
        <v>160</v>
      </c>
      <c r="AG262">
        <v>2.0874999999999999</v>
      </c>
      <c r="AH262">
        <v>2</v>
      </c>
      <c r="AI262">
        <v>48372029</v>
      </c>
      <c r="AJ262">
        <v>261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>
      <c r="A263">
        <f>ROW(Source!A149)</f>
        <v>149</v>
      </c>
      <c r="B263">
        <v>48372030</v>
      </c>
      <c r="C263">
        <v>48372024</v>
      </c>
      <c r="D263">
        <v>37731442</v>
      </c>
      <c r="E263">
        <v>1</v>
      </c>
      <c r="F263">
        <v>1</v>
      </c>
      <c r="G263">
        <v>1</v>
      </c>
      <c r="H263">
        <v>3</v>
      </c>
      <c r="I263" t="s">
        <v>628</v>
      </c>
      <c r="J263" t="s">
        <v>629</v>
      </c>
      <c r="K263" t="s">
        <v>630</v>
      </c>
      <c r="L263">
        <v>1348</v>
      </c>
      <c r="N263">
        <v>1009</v>
      </c>
      <c r="O263" t="s">
        <v>536</v>
      </c>
      <c r="P263" t="s">
        <v>536</v>
      </c>
      <c r="Q263">
        <v>1000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1</v>
      </c>
      <c r="AD263">
        <v>0</v>
      </c>
      <c r="AE263">
        <v>0</v>
      </c>
      <c r="AF263" t="s">
        <v>3</v>
      </c>
      <c r="AG263">
        <v>0</v>
      </c>
      <c r="AH263">
        <v>2</v>
      </c>
      <c r="AI263">
        <v>48372030</v>
      </c>
      <c r="AJ263">
        <v>262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>
      <c r="A264">
        <f>ROW(Source!A149)</f>
        <v>149</v>
      </c>
      <c r="B264">
        <v>48372031</v>
      </c>
      <c r="C264">
        <v>48372024</v>
      </c>
      <c r="D264">
        <v>37768197</v>
      </c>
      <c r="E264">
        <v>1</v>
      </c>
      <c r="F264">
        <v>1</v>
      </c>
      <c r="G264">
        <v>1</v>
      </c>
      <c r="H264">
        <v>3</v>
      </c>
      <c r="I264" t="s">
        <v>875</v>
      </c>
      <c r="J264" t="s">
        <v>876</v>
      </c>
      <c r="K264" t="s">
        <v>877</v>
      </c>
      <c r="L264">
        <v>1348</v>
      </c>
      <c r="N264">
        <v>1009</v>
      </c>
      <c r="O264" t="s">
        <v>536</v>
      </c>
      <c r="P264" t="s">
        <v>536</v>
      </c>
      <c r="Q264">
        <v>1000</v>
      </c>
      <c r="X264">
        <v>0.97</v>
      </c>
      <c r="Y264">
        <v>2537.4899999999998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0</v>
      </c>
      <c r="AF264" t="s">
        <v>3</v>
      </c>
      <c r="AG264">
        <v>0.97</v>
      </c>
      <c r="AH264">
        <v>2</v>
      </c>
      <c r="AI264">
        <v>48372031</v>
      </c>
      <c r="AJ264">
        <v>263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>
      <c r="A265">
        <f>ROW(Source!A149)</f>
        <v>149</v>
      </c>
      <c r="B265">
        <v>48372032</v>
      </c>
      <c r="C265">
        <v>48372024</v>
      </c>
      <c r="D265">
        <v>37777802</v>
      </c>
      <c r="E265">
        <v>1</v>
      </c>
      <c r="F265">
        <v>1</v>
      </c>
      <c r="G265">
        <v>1</v>
      </c>
      <c r="H265">
        <v>3</v>
      </c>
      <c r="I265" t="s">
        <v>616</v>
      </c>
      <c r="J265" t="s">
        <v>617</v>
      </c>
      <c r="K265" t="s">
        <v>618</v>
      </c>
      <c r="L265">
        <v>1339</v>
      </c>
      <c r="N265">
        <v>1007</v>
      </c>
      <c r="O265" t="s">
        <v>543</v>
      </c>
      <c r="P265" t="s">
        <v>543</v>
      </c>
      <c r="Q265">
        <v>1</v>
      </c>
      <c r="X265">
        <v>0.63</v>
      </c>
      <c r="Y265">
        <v>2.4700000000000002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0</v>
      </c>
      <c r="AF265" t="s">
        <v>3</v>
      </c>
      <c r="AG265">
        <v>0.63</v>
      </c>
      <c r="AH265">
        <v>2</v>
      </c>
      <c r="AI265">
        <v>48372032</v>
      </c>
      <c r="AJ265">
        <v>264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>
      <c r="A266">
        <f>ROW(Source!A150)</f>
        <v>150</v>
      </c>
      <c r="B266">
        <v>48372056</v>
      </c>
      <c r="C266">
        <v>48372055</v>
      </c>
      <c r="D266">
        <v>23146514</v>
      </c>
      <c r="E266">
        <v>1</v>
      </c>
      <c r="F266">
        <v>1</v>
      </c>
      <c r="G266">
        <v>1</v>
      </c>
      <c r="H266">
        <v>1</v>
      </c>
      <c r="I266" t="s">
        <v>878</v>
      </c>
      <c r="J266" t="s">
        <v>3</v>
      </c>
      <c r="K266" t="s">
        <v>879</v>
      </c>
      <c r="L266">
        <v>1369</v>
      </c>
      <c r="N266">
        <v>1013</v>
      </c>
      <c r="O266" t="s">
        <v>510</v>
      </c>
      <c r="P266" t="s">
        <v>510</v>
      </c>
      <c r="Q266">
        <v>1</v>
      </c>
      <c r="X266">
        <v>63.1</v>
      </c>
      <c r="Y266">
        <v>0</v>
      </c>
      <c r="Z266">
        <v>0</v>
      </c>
      <c r="AA266">
        <v>0</v>
      </c>
      <c r="AB266">
        <v>9.1300000000000008</v>
      </c>
      <c r="AC266">
        <v>0</v>
      </c>
      <c r="AD266">
        <v>1</v>
      </c>
      <c r="AE266">
        <v>1</v>
      </c>
      <c r="AF266" t="s">
        <v>161</v>
      </c>
      <c r="AG266">
        <v>72.564999999999998</v>
      </c>
      <c r="AH266">
        <v>2</v>
      </c>
      <c r="AI266">
        <v>48372056</v>
      </c>
      <c r="AJ266">
        <v>265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>
      <c r="A267">
        <f>ROW(Source!A150)</f>
        <v>150</v>
      </c>
      <c r="B267">
        <v>48372057</v>
      </c>
      <c r="C267">
        <v>48372055</v>
      </c>
      <c r="D267">
        <v>121548</v>
      </c>
      <c r="E267">
        <v>1</v>
      </c>
      <c r="F267">
        <v>1</v>
      </c>
      <c r="G267">
        <v>1</v>
      </c>
      <c r="H267">
        <v>1</v>
      </c>
      <c r="I267" t="s">
        <v>24</v>
      </c>
      <c r="J267" t="s">
        <v>3</v>
      </c>
      <c r="K267" t="s">
        <v>511</v>
      </c>
      <c r="L267">
        <v>608254</v>
      </c>
      <c r="N267">
        <v>1013</v>
      </c>
      <c r="O267" t="s">
        <v>512</v>
      </c>
      <c r="P267" t="s">
        <v>512</v>
      </c>
      <c r="Q267">
        <v>1</v>
      </c>
      <c r="X267">
        <v>2.1800000000000002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1</v>
      </c>
      <c r="AE267">
        <v>2</v>
      </c>
      <c r="AF267" t="s">
        <v>160</v>
      </c>
      <c r="AG267">
        <v>2.7250000000000001</v>
      </c>
      <c r="AH267">
        <v>2</v>
      </c>
      <c r="AI267">
        <v>48372057</v>
      </c>
      <c r="AJ267">
        <v>266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>
      <c r="A268">
        <f>ROW(Source!A150)</f>
        <v>150</v>
      </c>
      <c r="B268">
        <v>48372058</v>
      </c>
      <c r="C268">
        <v>48372055</v>
      </c>
      <c r="D268">
        <v>37802515</v>
      </c>
      <c r="E268">
        <v>1</v>
      </c>
      <c r="F268">
        <v>1</v>
      </c>
      <c r="G268">
        <v>1</v>
      </c>
      <c r="H268">
        <v>2</v>
      </c>
      <c r="I268" t="s">
        <v>650</v>
      </c>
      <c r="J268" t="s">
        <v>651</v>
      </c>
      <c r="K268" t="s">
        <v>652</v>
      </c>
      <c r="L268">
        <v>1368</v>
      </c>
      <c r="N268">
        <v>1011</v>
      </c>
      <c r="O268" t="s">
        <v>516</v>
      </c>
      <c r="P268" t="s">
        <v>516</v>
      </c>
      <c r="Q268">
        <v>1</v>
      </c>
      <c r="X268">
        <v>0.05</v>
      </c>
      <c r="Y268">
        <v>0</v>
      </c>
      <c r="Z268">
        <v>87.24</v>
      </c>
      <c r="AA268">
        <v>9</v>
      </c>
      <c r="AB268">
        <v>0</v>
      </c>
      <c r="AC268">
        <v>0</v>
      </c>
      <c r="AD268">
        <v>1</v>
      </c>
      <c r="AE268">
        <v>0</v>
      </c>
      <c r="AF268" t="s">
        <v>160</v>
      </c>
      <c r="AG268">
        <v>6.25E-2</v>
      </c>
      <c r="AH268">
        <v>2</v>
      </c>
      <c r="AI268">
        <v>48372058</v>
      </c>
      <c r="AJ268">
        <v>267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>
      <c r="A269">
        <f>ROW(Source!A150)</f>
        <v>150</v>
      </c>
      <c r="B269">
        <v>48372059</v>
      </c>
      <c r="C269">
        <v>48372055</v>
      </c>
      <c r="D269">
        <v>37802578</v>
      </c>
      <c r="E269">
        <v>1</v>
      </c>
      <c r="F269">
        <v>1</v>
      </c>
      <c r="G269">
        <v>1</v>
      </c>
      <c r="H269">
        <v>2</v>
      </c>
      <c r="I269" t="s">
        <v>550</v>
      </c>
      <c r="J269" t="s">
        <v>551</v>
      </c>
      <c r="K269" t="s">
        <v>552</v>
      </c>
      <c r="L269">
        <v>1368</v>
      </c>
      <c r="N269">
        <v>1011</v>
      </c>
      <c r="O269" t="s">
        <v>516</v>
      </c>
      <c r="P269" t="s">
        <v>516</v>
      </c>
      <c r="Q269">
        <v>1</v>
      </c>
      <c r="X269">
        <v>0.18</v>
      </c>
      <c r="Y269">
        <v>0</v>
      </c>
      <c r="Z269">
        <v>32.090000000000003</v>
      </c>
      <c r="AA269">
        <v>12.1</v>
      </c>
      <c r="AB269">
        <v>0</v>
      </c>
      <c r="AC269">
        <v>0</v>
      </c>
      <c r="AD269">
        <v>1</v>
      </c>
      <c r="AE269">
        <v>0</v>
      </c>
      <c r="AF269" t="s">
        <v>160</v>
      </c>
      <c r="AG269">
        <v>0.22499999999999998</v>
      </c>
      <c r="AH269">
        <v>2</v>
      </c>
      <c r="AI269">
        <v>48372059</v>
      </c>
      <c r="AJ269">
        <v>268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>
      <c r="A270">
        <f>ROW(Source!A150)</f>
        <v>150</v>
      </c>
      <c r="B270">
        <v>48372060</v>
      </c>
      <c r="C270">
        <v>48372055</v>
      </c>
      <c r="D270">
        <v>37802992</v>
      </c>
      <c r="E270">
        <v>1</v>
      </c>
      <c r="F270">
        <v>1</v>
      </c>
      <c r="G270">
        <v>1</v>
      </c>
      <c r="H270">
        <v>2</v>
      </c>
      <c r="I270" t="s">
        <v>653</v>
      </c>
      <c r="J270" t="s">
        <v>654</v>
      </c>
      <c r="K270" t="s">
        <v>655</v>
      </c>
      <c r="L270">
        <v>1368</v>
      </c>
      <c r="N270">
        <v>1011</v>
      </c>
      <c r="O270" t="s">
        <v>516</v>
      </c>
      <c r="P270" t="s">
        <v>516</v>
      </c>
      <c r="Q270">
        <v>1</v>
      </c>
      <c r="X270">
        <v>1.95</v>
      </c>
      <c r="Y270">
        <v>0</v>
      </c>
      <c r="Z270">
        <v>11.32</v>
      </c>
      <c r="AA270">
        <v>9</v>
      </c>
      <c r="AB270">
        <v>0</v>
      </c>
      <c r="AC270">
        <v>0</v>
      </c>
      <c r="AD270">
        <v>1</v>
      </c>
      <c r="AE270">
        <v>0</v>
      </c>
      <c r="AF270" t="s">
        <v>160</v>
      </c>
      <c r="AG270">
        <v>2.4375</v>
      </c>
      <c r="AH270">
        <v>2</v>
      </c>
      <c r="AI270">
        <v>48372060</v>
      </c>
      <c r="AJ270">
        <v>269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>
      <c r="A271">
        <f>ROW(Source!A150)</f>
        <v>150</v>
      </c>
      <c r="B271">
        <v>48372061</v>
      </c>
      <c r="C271">
        <v>48372055</v>
      </c>
      <c r="D271">
        <v>37731442</v>
      </c>
      <c r="E271">
        <v>1</v>
      </c>
      <c r="F271">
        <v>1</v>
      </c>
      <c r="G271">
        <v>1</v>
      </c>
      <c r="H271">
        <v>3</v>
      </c>
      <c r="I271" t="s">
        <v>628</v>
      </c>
      <c r="J271" t="s">
        <v>629</v>
      </c>
      <c r="K271" t="s">
        <v>630</v>
      </c>
      <c r="L271">
        <v>1348</v>
      </c>
      <c r="N271">
        <v>1009</v>
      </c>
      <c r="O271" t="s">
        <v>536</v>
      </c>
      <c r="P271" t="s">
        <v>536</v>
      </c>
      <c r="Q271">
        <v>1000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1</v>
      </c>
      <c r="AD271">
        <v>0</v>
      </c>
      <c r="AE271">
        <v>0</v>
      </c>
      <c r="AF271" t="s">
        <v>3</v>
      </c>
      <c r="AG271">
        <v>0</v>
      </c>
      <c r="AH271">
        <v>2</v>
      </c>
      <c r="AI271">
        <v>48372061</v>
      </c>
      <c r="AJ271">
        <v>270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>
      <c r="A272">
        <f>ROW(Source!A150)</f>
        <v>150</v>
      </c>
      <c r="B272">
        <v>48372062</v>
      </c>
      <c r="C272">
        <v>48372055</v>
      </c>
      <c r="D272">
        <v>37768197</v>
      </c>
      <c r="E272">
        <v>1</v>
      </c>
      <c r="F272">
        <v>1</v>
      </c>
      <c r="G272">
        <v>1</v>
      </c>
      <c r="H272">
        <v>3</v>
      </c>
      <c r="I272" t="s">
        <v>875</v>
      </c>
      <c r="J272" t="s">
        <v>876</v>
      </c>
      <c r="K272" t="s">
        <v>877</v>
      </c>
      <c r="L272">
        <v>1348</v>
      </c>
      <c r="N272">
        <v>1009</v>
      </c>
      <c r="O272" t="s">
        <v>536</v>
      </c>
      <c r="P272" t="s">
        <v>536</v>
      </c>
      <c r="Q272">
        <v>1000</v>
      </c>
      <c r="X272">
        <v>1.131</v>
      </c>
      <c r="Y272">
        <v>2537.4899999999998</v>
      </c>
      <c r="Z272">
        <v>0</v>
      </c>
      <c r="AA272">
        <v>0</v>
      </c>
      <c r="AB272">
        <v>0</v>
      </c>
      <c r="AC272">
        <v>0</v>
      </c>
      <c r="AD272">
        <v>1</v>
      </c>
      <c r="AE272">
        <v>0</v>
      </c>
      <c r="AF272" t="s">
        <v>3</v>
      </c>
      <c r="AG272">
        <v>1.131</v>
      </c>
      <c r="AH272">
        <v>2</v>
      </c>
      <c r="AI272">
        <v>48372062</v>
      </c>
      <c r="AJ272">
        <v>271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>
      <c r="A273">
        <f>ROW(Source!A150)</f>
        <v>150</v>
      </c>
      <c r="B273">
        <v>48372063</v>
      </c>
      <c r="C273">
        <v>48372055</v>
      </c>
      <c r="D273">
        <v>37777802</v>
      </c>
      <c r="E273">
        <v>1</v>
      </c>
      <c r="F273">
        <v>1</v>
      </c>
      <c r="G273">
        <v>1</v>
      </c>
      <c r="H273">
        <v>3</v>
      </c>
      <c r="I273" t="s">
        <v>616</v>
      </c>
      <c r="J273" t="s">
        <v>617</v>
      </c>
      <c r="K273" t="s">
        <v>618</v>
      </c>
      <c r="L273">
        <v>1339</v>
      </c>
      <c r="N273">
        <v>1007</v>
      </c>
      <c r="O273" t="s">
        <v>543</v>
      </c>
      <c r="P273" t="s">
        <v>543</v>
      </c>
      <c r="Q273">
        <v>1</v>
      </c>
      <c r="X273">
        <v>0.74</v>
      </c>
      <c r="Y273">
        <v>2.4700000000000002</v>
      </c>
      <c r="Z273">
        <v>0</v>
      </c>
      <c r="AA273">
        <v>0</v>
      </c>
      <c r="AB273">
        <v>0</v>
      </c>
      <c r="AC273">
        <v>0</v>
      </c>
      <c r="AD273">
        <v>1</v>
      </c>
      <c r="AE273">
        <v>0</v>
      </c>
      <c r="AF273" t="s">
        <v>3</v>
      </c>
      <c r="AG273">
        <v>0.74</v>
      </c>
      <c r="AH273">
        <v>2</v>
      </c>
      <c r="AI273">
        <v>48372063</v>
      </c>
      <c r="AJ273">
        <v>272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>
      <c r="A274">
        <f>ROW(Source!A151)</f>
        <v>151</v>
      </c>
      <c r="B274">
        <v>48372541</v>
      </c>
      <c r="C274">
        <v>48372540</v>
      </c>
      <c r="D274">
        <v>23134555</v>
      </c>
      <c r="E274">
        <v>1</v>
      </c>
      <c r="F274">
        <v>1</v>
      </c>
      <c r="G274">
        <v>1</v>
      </c>
      <c r="H274">
        <v>1</v>
      </c>
      <c r="I274" t="s">
        <v>520</v>
      </c>
      <c r="J274" t="s">
        <v>3</v>
      </c>
      <c r="K274" t="s">
        <v>521</v>
      </c>
      <c r="L274">
        <v>1369</v>
      </c>
      <c r="N274">
        <v>1013</v>
      </c>
      <c r="O274" t="s">
        <v>510</v>
      </c>
      <c r="P274" t="s">
        <v>510</v>
      </c>
      <c r="Q274">
        <v>1</v>
      </c>
      <c r="X274">
        <v>42.9</v>
      </c>
      <c r="Y274">
        <v>0</v>
      </c>
      <c r="Z274">
        <v>0</v>
      </c>
      <c r="AA274">
        <v>0</v>
      </c>
      <c r="AB274">
        <v>8.3800000000000008</v>
      </c>
      <c r="AC274">
        <v>0</v>
      </c>
      <c r="AD274">
        <v>1</v>
      </c>
      <c r="AE274">
        <v>1</v>
      </c>
      <c r="AF274" t="s">
        <v>161</v>
      </c>
      <c r="AG274">
        <v>49.334999999999994</v>
      </c>
      <c r="AH274">
        <v>2</v>
      </c>
      <c r="AI274">
        <v>48372541</v>
      </c>
      <c r="AJ274">
        <v>273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>
      <c r="A275">
        <f>ROW(Source!A151)</f>
        <v>151</v>
      </c>
      <c r="B275">
        <v>48372542</v>
      </c>
      <c r="C275">
        <v>48372540</v>
      </c>
      <c r="D275">
        <v>121548</v>
      </c>
      <c r="E275">
        <v>1</v>
      </c>
      <c r="F275">
        <v>1</v>
      </c>
      <c r="G275">
        <v>1</v>
      </c>
      <c r="H275">
        <v>1</v>
      </c>
      <c r="I275" t="s">
        <v>24</v>
      </c>
      <c r="J275" t="s">
        <v>3</v>
      </c>
      <c r="K275" t="s">
        <v>511</v>
      </c>
      <c r="L275">
        <v>608254</v>
      </c>
      <c r="N275">
        <v>1013</v>
      </c>
      <c r="O275" t="s">
        <v>512</v>
      </c>
      <c r="P275" t="s">
        <v>512</v>
      </c>
      <c r="Q275">
        <v>1</v>
      </c>
      <c r="X275">
        <v>0.02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1</v>
      </c>
      <c r="AE275">
        <v>2</v>
      </c>
      <c r="AF275" t="s">
        <v>160</v>
      </c>
      <c r="AG275">
        <v>2.5000000000000001E-2</v>
      </c>
      <c r="AH275">
        <v>2</v>
      </c>
      <c r="AI275">
        <v>48372542</v>
      </c>
      <c r="AJ275">
        <v>274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>
      <c r="A276">
        <f>ROW(Source!A151)</f>
        <v>151</v>
      </c>
      <c r="B276">
        <v>48372543</v>
      </c>
      <c r="C276">
        <v>48372540</v>
      </c>
      <c r="D276">
        <v>37802578</v>
      </c>
      <c r="E276">
        <v>1</v>
      </c>
      <c r="F276">
        <v>1</v>
      </c>
      <c r="G276">
        <v>1</v>
      </c>
      <c r="H276">
        <v>2</v>
      </c>
      <c r="I276" t="s">
        <v>550</v>
      </c>
      <c r="J276" t="s">
        <v>551</v>
      </c>
      <c r="K276" t="s">
        <v>552</v>
      </c>
      <c r="L276">
        <v>1368</v>
      </c>
      <c r="N276">
        <v>1011</v>
      </c>
      <c r="O276" t="s">
        <v>516</v>
      </c>
      <c r="P276" t="s">
        <v>516</v>
      </c>
      <c r="Q276">
        <v>1</v>
      </c>
      <c r="X276">
        <v>0.02</v>
      </c>
      <c r="Y276">
        <v>0</v>
      </c>
      <c r="Z276">
        <v>32.090000000000003</v>
      </c>
      <c r="AA276">
        <v>12.1</v>
      </c>
      <c r="AB276">
        <v>0</v>
      </c>
      <c r="AC276">
        <v>0</v>
      </c>
      <c r="AD276">
        <v>1</v>
      </c>
      <c r="AE276">
        <v>0</v>
      </c>
      <c r="AF276" t="s">
        <v>160</v>
      </c>
      <c r="AG276">
        <v>2.5000000000000001E-2</v>
      </c>
      <c r="AH276">
        <v>2</v>
      </c>
      <c r="AI276">
        <v>48372543</v>
      </c>
      <c r="AJ276">
        <v>275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>
      <c r="A277">
        <f>ROW(Source!A151)</f>
        <v>151</v>
      </c>
      <c r="B277">
        <v>48372544</v>
      </c>
      <c r="C277">
        <v>48372540</v>
      </c>
      <c r="D277">
        <v>37804456</v>
      </c>
      <c r="E277">
        <v>1</v>
      </c>
      <c r="F277">
        <v>1</v>
      </c>
      <c r="G277">
        <v>1</v>
      </c>
      <c r="H277">
        <v>2</v>
      </c>
      <c r="I277" t="s">
        <v>530</v>
      </c>
      <c r="J277" t="s">
        <v>531</v>
      </c>
      <c r="K277" t="s">
        <v>532</v>
      </c>
      <c r="L277">
        <v>1368</v>
      </c>
      <c r="N277">
        <v>1011</v>
      </c>
      <c r="O277" t="s">
        <v>516</v>
      </c>
      <c r="P277" t="s">
        <v>516</v>
      </c>
      <c r="Q277">
        <v>1</v>
      </c>
      <c r="X277">
        <v>0.15</v>
      </c>
      <c r="Y277">
        <v>0</v>
      </c>
      <c r="Z277">
        <v>91.76</v>
      </c>
      <c r="AA277">
        <v>10.35</v>
      </c>
      <c r="AB277">
        <v>0</v>
      </c>
      <c r="AC277">
        <v>0</v>
      </c>
      <c r="AD277">
        <v>1</v>
      </c>
      <c r="AE277">
        <v>0</v>
      </c>
      <c r="AF277" t="s">
        <v>160</v>
      </c>
      <c r="AG277">
        <v>0.1875</v>
      </c>
      <c r="AH277">
        <v>2</v>
      </c>
      <c r="AI277">
        <v>48372544</v>
      </c>
      <c r="AJ277">
        <v>276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>
      <c r="A278">
        <f>ROW(Source!A151)</f>
        <v>151</v>
      </c>
      <c r="B278">
        <v>48372545</v>
      </c>
      <c r="C278">
        <v>48372540</v>
      </c>
      <c r="D278">
        <v>37729978</v>
      </c>
      <c r="E278">
        <v>1</v>
      </c>
      <c r="F278">
        <v>1</v>
      </c>
      <c r="G278">
        <v>1</v>
      </c>
      <c r="H278">
        <v>3</v>
      </c>
      <c r="I278" t="s">
        <v>880</v>
      </c>
      <c r="J278" t="s">
        <v>881</v>
      </c>
      <c r="K278" t="s">
        <v>882</v>
      </c>
      <c r="L278">
        <v>1327</v>
      </c>
      <c r="N278">
        <v>1005</v>
      </c>
      <c r="O278" t="s">
        <v>189</v>
      </c>
      <c r="P278" t="s">
        <v>189</v>
      </c>
      <c r="Q278">
        <v>1</v>
      </c>
      <c r="X278">
        <v>0.84</v>
      </c>
      <c r="Y278">
        <v>72.319999999999993</v>
      </c>
      <c r="Z278">
        <v>0</v>
      </c>
      <c r="AA278">
        <v>0</v>
      </c>
      <c r="AB278">
        <v>0</v>
      </c>
      <c r="AC278">
        <v>0</v>
      </c>
      <c r="AD278">
        <v>1</v>
      </c>
      <c r="AE278">
        <v>0</v>
      </c>
      <c r="AF278" t="s">
        <v>3</v>
      </c>
      <c r="AG278">
        <v>0.84</v>
      </c>
      <c r="AH278">
        <v>2</v>
      </c>
      <c r="AI278">
        <v>48372545</v>
      </c>
      <c r="AJ278">
        <v>277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>
      <c r="A279">
        <f>ROW(Source!A151)</f>
        <v>151</v>
      </c>
      <c r="B279">
        <v>48372546</v>
      </c>
      <c r="C279">
        <v>48372540</v>
      </c>
      <c r="D279">
        <v>37731918</v>
      </c>
      <c r="E279">
        <v>1</v>
      </c>
      <c r="F279">
        <v>1</v>
      </c>
      <c r="G279">
        <v>1</v>
      </c>
      <c r="H279">
        <v>3</v>
      </c>
      <c r="I279" t="s">
        <v>883</v>
      </c>
      <c r="J279" t="s">
        <v>884</v>
      </c>
      <c r="K279" t="s">
        <v>885</v>
      </c>
      <c r="L279">
        <v>1348</v>
      </c>
      <c r="N279">
        <v>1009</v>
      </c>
      <c r="O279" t="s">
        <v>536</v>
      </c>
      <c r="P279" t="s">
        <v>536</v>
      </c>
      <c r="Q279">
        <v>1000</v>
      </c>
      <c r="X279">
        <v>5.0999999999999997E-2</v>
      </c>
      <c r="Y279">
        <v>4294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v>0</v>
      </c>
      <c r="AF279" t="s">
        <v>3</v>
      </c>
      <c r="AG279">
        <v>5.0999999999999997E-2</v>
      </c>
      <c r="AH279">
        <v>2</v>
      </c>
      <c r="AI279">
        <v>48372546</v>
      </c>
      <c r="AJ279">
        <v>278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>
      <c r="A280">
        <f>ROW(Source!A151)</f>
        <v>151</v>
      </c>
      <c r="B280">
        <v>48372547</v>
      </c>
      <c r="C280">
        <v>48372540</v>
      </c>
      <c r="D280">
        <v>37729991</v>
      </c>
      <c r="E280">
        <v>1</v>
      </c>
      <c r="F280">
        <v>1</v>
      </c>
      <c r="G280">
        <v>1</v>
      </c>
      <c r="H280">
        <v>3</v>
      </c>
      <c r="I280" t="s">
        <v>625</v>
      </c>
      <c r="J280" t="s">
        <v>626</v>
      </c>
      <c r="K280" t="s">
        <v>627</v>
      </c>
      <c r="L280">
        <v>1346</v>
      </c>
      <c r="N280">
        <v>1009</v>
      </c>
      <c r="O280" t="s">
        <v>172</v>
      </c>
      <c r="P280" t="s">
        <v>172</v>
      </c>
      <c r="Q280">
        <v>1</v>
      </c>
      <c r="X280">
        <v>0.31</v>
      </c>
      <c r="Y280">
        <v>1.82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0</v>
      </c>
      <c r="AF280" t="s">
        <v>3</v>
      </c>
      <c r="AG280">
        <v>0.31</v>
      </c>
      <c r="AH280">
        <v>2</v>
      </c>
      <c r="AI280">
        <v>48372547</v>
      </c>
      <c r="AJ280">
        <v>279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>
      <c r="A281">
        <f>ROW(Source!A151)</f>
        <v>151</v>
      </c>
      <c r="B281">
        <v>48372548</v>
      </c>
      <c r="C281">
        <v>48372540</v>
      </c>
      <c r="D281">
        <v>37732580</v>
      </c>
      <c r="E281">
        <v>1</v>
      </c>
      <c r="F281">
        <v>1</v>
      </c>
      <c r="G281">
        <v>1</v>
      </c>
      <c r="H281">
        <v>3</v>
      </c>
      <c r="I281" t="s">
        <v>886</v>
      </c>
      <c r="J281" t="s">
        <v>887</v>
      </c>
      <c r="K281" t="s">
        <v>888</v>
      </c>
      <c r="L281">
        <v>1348</v>
      </c>
      <c r="N281">
        <v>1009</v>
      </c>
      <c r="O281" t="s">
        <v>536</v>
      </c>
      <c r="P281" t="s">
        <v>536</v>
      </c>
      <c r="Q281">
        <v>1000</v>
      </c>
      <c r="X281">
        <v>6.3E-2</v>
      </c>
      <c r="Y281">
        <v>15481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0</v>
      </c>
      <c r="AF281" t="s">
        <v>3</v>
      </c>
      <c r="AG281">
        <v>6.3E-2</v>
      </c>
      <c r="AH281">
        <v>2</v>
      </c>
      <c r="AI281">
        <v>48372548</v>
      </c>
      <c r="AJ281">
        <v>280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>
      <c r="A282">
        <f>ROW(Source!A152)</f>
        <v>152</v>
      </c>
      <c r="B282">
        <v>48372585</v>
      </c>
      <c r="C282">
        <v>48372584</v>
      </c>
      <c r="D282">
        <v>23134555</v>
      </c>
      <c r="E282">
        <v>1</v>
      </c>
      <c r="F282">
        <v>1</v>
      </c>
      <c r="G282">
        <v>1</v>
      </c>
      <c r="H282">
        <v>1</v>
      </c>
      <c r="I282" t="s">
        <v>520</v>
      </c>
      <c r="J282" t="s">
        <v>3</v>
      </c>
      <c r="K282" t="s">
        <v>521</v>
      </c>
      <c r="L282">
        <v>1369</v>
      </c>
      <c r="N282">
        <v>1013</v>
      </c>
      <c r="O282" t="s">
        <v>510</v>
      </c>
      <c r="P282" t="s">
        <v>510</v>
      </c>
      <c r="Q282">
        <v>1</v>
      </c>
      <c r="X282">
        <v>53.9</v>
      </c>
      <c r="Y282">
        <v>0</v>
      </c>
      <c r="Z282">
        <v>0</v>
      </c>
      <c r="AA282">
        <v>0</v>
      </c>
      <c r="AB282">
        <v>8.3800000000000008</v>
      </c>
      <c r="AC282">
        <v>0</v>
      </c>
      <c r="AD282">
        <v>1</v>
      </c>
      <c r="AE282">
        <v>1</v>
      </c>
      <c r="AF282" t="s">
        <v>161</v>
      </c>
      <c r="AG282">
        <v>61.984999999999992</v>
      </c>
      <c r="AH282">
        <v>2</v>
      </c>
      <c r="AI282">
        <v>48372585</v>
      </c>
      <c r="AJ282">
        <v>281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>
      <c r="A283">
        <f>ROW(Source!A152)</f>
        <v>152</v>
      </c>
      <c r="B283">
        <v>48372586</v>
      </c>
      <c r="C283">
        <v>48372584</v>
      </c>
      <c r="D283">
        <v>121548</v>
      </c>
      <c r="E283">
        <v>1</v>
      </c>
      <c r="F283">
        <v>1</v>
      </c>
      <c r="G283">
        <v>1</v>
      </c>
      <c r="H283">
        <v>1</v>
      </c>
      <c r="I283" t="s">
        <v>24</v>
      </c>
      <c r="J283" t="s">
        <v>3</v>
      </c>
      <c r="K283" t="s">
        <v>511</v>
      </c>
      <c r="L283">
        <v>608254</v>
      </c>
      <c r="N283">
        <v>1013</v>
      </c>
      <c r="O283" t="s">
        <v>512</v>
      </c>
      <c r="P283" t="s">
        <v>512</v>
      </c>
      <c r="Q283">
        <v>1</v>
      </c>
      <c r="X283">
        <v>0.02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1</v>
      </c>
      <c r="AE283">
        <v>2</v>
      </c>
      <c r="AF283" t="s">
        <v>160</v>
      </c>
      <c r="AG283">
        <v>2.5000000000000001E-2</v>
      </c>
      <c r="AH283">
        <v>2</v>
      </c>
      <c r="AI283">
        <v>48372586</v>
      </c>
      <c r="AJ283">
        <v>282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>
      <c r="A284">
        <f>ROW(Source!A152)</f>
        <v>152</v>
      </c>
      <c r="B284">
        <v>48372587</v>
      </c>
      <c r="C284">
        <v>48372584</v>
      </c>
      <c r="D284">
        <v>37802578</v>
      </c>
      <c r="E284">
        <v>1</v>
      </c>
      <c r="F284">
        <v>1</v>
      </c>
      <c r="G284">
        <v>1</v>
      </c>
      <c r="H284">
        <v>2</v>
      </c>
      <c r="I284" t="s">
        <v>550</v>
      </c>
      <c r="J284" t="s">
        <v>551</v>
      </c>
      <c r="K284" t="s">
        <v>552</v>
      </c>
      <c r="L284">
        <v>1368</v>
      </c>
      <c r="N284">
        <v>1011</v>
      </c>
      <c r="O284" t="s">
        <v>516</v>
      </c>
      <c r="P284" t="s">
        <v>516</v>
      </c>
      <c r="Q284">
        <v>1</v>
      </c>
      <c r="X284">
        <v>0.02</v>
      </c>
      <c r="Y284">
        <v>0</v>
      </c>
      <c r="Z284">
        <v>32.090000000000003</v>
      </c>
      <c r="AA284">
        <v>12.1</v>
      </c>
      <c r="AB284">
        <v>0</v>
      </c>
      <c r="AC284">
        <v>0</v>
      </c>
      <c r="AD284">
        <v>1</v>
      </c>
      <c r="AE284">
        <v>0</v>
      </c>
      <c r="AF284" t="s">
        <v>160</v>
      </c>
      <c r="AG284">
        <v>2.5000000000000001E-2</v>
      </c>
      <c r="AH284">
        <v>2</v>
      </c>
      <c r="AI284">
        <v>48372587</v>
      </c>
      <c r="AJ284">
        <v>283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>
      <c r="A285">
        <f>ROW(Source!A152)</f>
        <v>152</v>
      </c>
      <c r="B285">
        <v>48372588</v>
      </c>
      <c r="C285">
        <v>48372584</v>
      </c>
      <c r="D285">
        <v>37804456</v>
      </c>
      <c r="E285">
        <v>1</v>
      </c>
      <c r="F285">
        <v>1</v>
      </c>
      <c r="G285">
        <v>1</v>
      </c>
      <c r="H285">
        <v>2</v>
      </c>
      <c r="I285" t="s">
        <v>530</v>
      </c>
      <c r="J285" t="s">
        <v>531</v>
      </c>
      <c r="K285" t="s">
        <v>532</v>
      </c>
      <c r="L285">
        <v>1368</v>
      </c>
      <c r="N285">
        <v>1011</v>
      </c>
      <c r="O285" t="s">
        <v>516</v>
      </c>
      <c r="P285" t="s">
        <v>516</v>
      </c>
      <c r="Q285">
        <v>1</v>
      </c>
      <c r="X285">
        <v>0.16</v>
      </c>
      <c r="Y285">
        <v>0</v>
      </c>
      <c r="Z285">
        <v>91.76</v>
      </c>
      <c r="AA285">
        <v>10.35</v>
      </c>
      <c r="AB285">
        <v>0</v>
      </c>
      <c r="AC285">
        <v>0</v>
      </c>
      <c r="AD285">
        <v>1</v>
      </c>
      <c r="AE285">
        <v>0</v>
      </c>
      <c r="AF285" t="s">
        <v>160</v>
      </c>
      <c r="AG285">
        <v>0.2</v>
      </c>
      <c r="AH285">
        <v>2</v>
      </c>
      <c r="AI285">
        <v>48372588</v>
      </c>
      <c r="AJ285">
        <v>284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>
      <c r="A286">
        <f>ROW(Source!A152)</f>
        <v>152</v>
      </c>
      <c r="B286">
        <v>48372589</v>
      </c>
      <c r="C286">
        <v>48372584</v>
      </c>
      <c r="D286">
        <v>37729978</v>
      </c>
      <c r="E286">
        <v>1</v>
      </c>
      <c r="F286">
        <v>1</v>
      </c>
      <c r="G286">
        <v>1</v>
      </c>
      <c r="H286">
        <v>3</v>
      </c>
      <c r="I286" t="s">
        <v>880</v>
      </c>
      <c r="J286" t="s">
        <v>881</v>
      </c>
      <c r="K286" t="s">
        <v>882</v>
      </c>
      <c r="L286">
        <v>1327</v>
      </c>
      <c r="N286">
        <v>1005</v>
      </c>
      <c r="O286" t="s">
        <v>189</v>
      </c>
      <c r="P286" t="s">
        <v>189</v>
      </c>
      <c r="Q286">
        <v>1</v>
      </c>
      <c r="X286">
        <v>0.84</v>
      </c>
      <c r="Y286">
        <v>72.319999999999993</v>
      </c>
      <c r="Z286">
        <v>0</v>
      </c>
      <c r="AA286">
        <v>0</v>
      </c>
      <c r="AB286">
        <v>0</v>
      </c>
      <c r="AC286">
        <v>0</v>
      </c>
      <c r="AD286">
        <v>1</v>
      </c>
      <c r="AE286">
        <v>0</v>
      </c>
      <c r="AF286" t="s">
        <v>3</v>
      </c>
      <c r="AG286">
        <v>0.84</v>
      </c>
      <c r="AH286">
        <v>2</v>
      </c>
      <c r="AI286">
        <v>48372589</v>
      </c>
      <c r="AJ286">
        <v>285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>
      <c r="A287">
        <f>ROW(Source!A152)</f>
        <v>152</v>
      </c>
      <c r="B287">
        <v>48372590</v>
      </c>
      <c r="C287">
        <v>48372584</v>
      </c>
      <c r="D287">
        <v>37731918</v>
      </c>
      <c r="E287">
        <v>1</v>
      </c>
      <c r="F287">
        <v>1</v>
      </c>
      <c r="G287">
        <v>1</v>
      </c>
      <c r="H287">
        <v>3</v>
      </c>
      <c r="I287" t="s">
        <v>883</v>
      </c>
      <c r="J287" t="s">
        <v>884</v>
      </c>
      <c r="K287" t="s">
        <v>885</v>
      </c>
      <c r="L287">
        <v>1348</v>
      </c>
      <c r="N287">
        <v>1009</v>
      </c>
      <c r="O287" t="s">
        <v>536</v>
      </c>
      <c r="P287" t="s">
        <v>536</v>
      </c>
      <c r="Q287">
        <v>1000</v>
      </c>
      <c r="X287">
        <v>5.5E-2</v>
      </c>
      <c r="Y287">
        <v>4294</v>
      </c>
      <c r="Z287">
        <v>0</v>
      </c>
      <c r="AA287">
        <v>0</v>
      </c>
      <c r="AB287">
        <v>0</v>
      </c>
      <c r="AC287">
        <v>0</v>
      </c>
      <c r="AD287">
        <v>1</v>
      </c>
      <c r="AE287">
        <v>0</v>
      </c>
      <c r="AF287" t="s">
        <v>3</v>
      </c>
      <c r="AG287">
        <v>5.5E-2</v>
      </c>
      <c r="AH287">
        <v>2</v>
      </c>
      <c r="AI287">
        <v>48372590</v>
      </c>
      <c r="AJ287">
        <v>286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>
      <c r="A288">
        <f>ROW(Source!A152)</f>
        <v>152</v>
      </c>
      <c r="B288">
        <v>48372591</v>
      </c>
      <c r="C288">
        <v>48372584</v>
      </c>
      <c r="D288">
        <v>37729991</v>
      </c>
      <c r="E288">
        <v>1</v>
      </c>
      <c r="F288">
        <v>1</v>
      </c>
      <c r="G288">
        <v>1</v>
      </c>
      <c r="H288">
        <v>3</v>
      </c>
      <c r="I288" t="s">
        <v>625</v>
      </c>
      <c r="J288" t="s">
        <v>626</v>
      </c>
      <c r="K288" t="s">
        <v>627</v>
      </c>
      <c r="L288">
        <v>1346</v>
      </c>
      <c r="N288">
        <v>1009</v>
      </c>
      <c r="O288" t="s">
        <v>172</v>
      </c>
      <c r="P288" t="s">
        <v>172</v>
      </c>
      <c r="Q288">
        <v>1</v>
      </c>
      <c r="X288">
        <v>0.31</v>
      </c>
      <c r="Y288">
        <v>1.82</v>
      </c>
      <c r="Z288">
        <v>0</v>
      </c>
      <c r="AA288">
        <v>0</v>
      </c>
      <c r="AB288">
        <v>0</v>
      </c>
      <c r="AC288">
        <v>0</v>
      </c>
      <c r="AD288">
        <v>1</v>
      </c>
      <c r="AE288">
        <v>0</v>
      </c>
      <c r="AF288" t="s">
        <v>3</v>
      </c>
      <c r="AG288">
        <v>0.31</v>
      </c>
      <c r="AH288">
        <v>2</v>
      </c>
      <c r="AI288">
        <v>48372591</v>
      </c>
      <c r="AJ288">
        <v>287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>
      <c r="A289">
        <f>ROW(Source!A152)</f>
        <v>152</v>
      </c>
      <c r="B289">
        <v>48372592</v>
      </c>
      <c r="C289">
        <v>48372584</v>
      </c>
      <c r="D289">
        <v>37732580</v>
      </c>
      <c r="E289">
        <v>1</v>
      </c>
      <c r="F289">
        <v>1</v>
      </c>
      <c r="G289">
        <v>1</v>
      </c>
      <c r="H289">
        <v>3</v>
      </c>
      <c r="I289" t="s">
        <v>886</v>
      </c>
      <c r="J289" t="s">
        <v>887</v>
      </c>
      <c r="K289" t="s">
        <v>888</v>
      </c>
      <c r="L289">
        <v>1348</v>
      </c>
      <c r="N289">
        <v>1009</v>
      </c>
      <c r="O289" t="s">
        <v>536</v>
      </c>
      <c r="P289" t="s">
        <v>536</v>
      </c>
      <c r="Q289">
        <v>1000</v>
      </c>
      <c r="X289">
        <v>6.9000000000000006E-2</v>
      </c>
      <c r="Y289">
        <v>15481</v>
      </c>
      <c r="Z289">
        <v>0</v>
      </c>
      <c r="AA289">
        <v>0</v>
      </c>
      <c r="AB289">
        <v>0</v>
      </c>
      <c r="AC289">
        <v>0</v>
      </c>
      <c r="AD289">
        <v>1</v>
      </c>
      <c r="AE289">
        <v>0</v>
      </c>
      <c r="AF289" t="s">
        <v>3</v>
      </c>
      <c r="AG289">
        <v>6.9000000000000006E-2</v>
      </c>
      <c r="AH289">
        <v>2</v>
      </c>
      <c r="AI289">
        <v>48372592</v>
      </c>
      <c r="AJ289">
        <v>288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>
      <c r="A290">
        <f>ROW(Source!A153)</f>
        <v>153</v>
      </c>
      <c r="B290">
        <v>48372098</v>
      </c>
      <c r="C290">
        <v>48372097</v>
      </c>
      <c r="D290">
        <v>23132590</v>
      </c>
      <c r="E290">
        <v>1</v>
      </c>
      <c r="F290">
        <v>1</v>
      </c>
      <c r="G290">
        <v>1</v>
      </c>
      <c r="H290">
        <v>1</v>
      </c>
      <c r="I290" t="s">
        <v>889</v>
      </c>
      <c r="J290" t="s">
        <v>3</v>
      </c>
      <c r="K290" t="s">
        <v>890</v>
      </c>
      <c r="L290">
        <v>1369</v>
      </c>
      <c r="N290">
        <v>1013</v>
      </c>
      <c r="O290" t="s">
        <v>510</v>
      </c>
      <c r="P290" t="s">
        <v>510</v>
      </c>
      <c r="Q290">
        <v>1</v>
      </c>
      <c r="X290">
        <v>39.51</v>
      </c>
      <c r="Y290">
        <v>0</v>
      </c>
      <c r="Z290">
        <v>0</v>
      </c>
      <c r="AA290">
        <v>0</v>
      </c>
      <c r="AB290">
        <v>7.43</v>
      </c>
      <c r="AC290">
        <v>0</v>
      </c>
      <c r="AD290">
        <v>1</v>
      </c>
      <c r="AE290">
        <v>1</v>
      </c>
      <c r="AF290" t="s">
        <v>161</v>
      </c>
      <c r="AG290">
        <v>45.436499999999995</v>
      </c>
      <c r="AH290">
        <v>2</v>
      </c>
      <c r="AI290">
        <v>48372098</v>
      </c>
      <c r="AJ290">
        <v>289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>
      <c r="A291">
        <f>ROW(Source!A153)</f>
        <v>153</v>
      </c>
      <c r="B291">
        <v>48372099</v>
      </c>
      <c r="C291">
        <v>48372097</v>
      </c>
      <c r="D291">
        <v>121548</v>
      </c>
      <c r="E291">
        <v>1</v>
      </c>
      <c r="F291">
        <v>1</v>
      </c>
      <c r="G291">
        <v>1</v>
      </c>
      <c r="H291">
        <v>1</v>
      </c>
      <c r="I291" t="s">
        <v>24</v>
      </c>
      <c r="J291" t="s">
        <v>3</v>
      </c>
      <c r="K291" t="s">
        <v>511</v>
      </c>
      <c r="L291">
        <v>608254</v>
      </c>
      <c r="N291">
        <v>1013</v>
      </c>
      <c r="O291" t="s">
        <v>512</v>
      </c>
      <c r="P291" t="s">
        <v>512</v>
      </c>
      <c r="Q291">
        <v>1</v>
      </c>
      <c r="X291">
        <v>1.27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1</v>
      </c>
      <c r="AE291">
        <v>2</v>
      </c>
      <c r="AF291" t="s">
        <v>160</v>
      </c>
      <c r="AG291">
        <v>1.5874999999999999</v>
      </c>
      <c r="AH291">
        <v>2</v>
      </c>
      <c r="AI291">
        <v>48372099</v>
      </c>
      <c r="AJ291">
        <v>290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>
      <c r="A292">
        <f>ROW(Source!A153)</f>
        <v>153</v>
      </c>
      <c r="B292">
        <v>48372100</v>
      </c>
      <c r="C292">
        <v>48372097</v>
      </c>
      <c r="D292">
        <v>37802578</v>
      </c>
      <c r="E292">
        <v>1</v>
      </c>
      <c r="F292">
        <v>1</v>
      </c>
      <c r="G292">
        <v>1</v>
      </c>
      <c r="H292">
        <v>2</v>
      </c>
      <c r="I292" t="s">
        <v>550</v>
      </c>
      <c r="J292" t="s">
        <v>551</v>
      </c>
      <c r="K292" t="s">
        <v>552</v>
      </c>
      <c r="L292">
        <v>1368</v>
      </c>
      <c r="N292">
        <v>1011</v>
      </c>
      <c r="O292" t="s">
        <v>516</v>
      </c>
      <c r="P292" t="s">
        <v>516</v>
      </c>
      <c r="Q292">
        <v>1</v>
      </c>
      <c r="X292">
        <v>1.27</v>
      </c>
      <c r="Y292">
        <v>0</v>
      </c>
      <c r="Z292">
        <v>32.090000000000003</v>
      </c>
      <c r="AA292">
        <v>12.1</v>
      </c>
      <c r="AB292">
        <v>0</v>
      </c>
      <c r="AC292">
        <v>0</v>
      </c>
      <c r="AD292">
        <v>1</v>
      </c>
      <c r="AE292">
        <v>0</v>
      </c>
      <c r="AF292" t="s">
        <v>160</v>
      </c>
      <c r="AG292">
        <v>1.5874999999999999</v>
      </c>
      <c r="AH292">
        <v>2</v>
      </c>
      <c r="AI292">
        <v>48372100</v>
      </c>
      <c r="AJ292">
        <v>291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>
      <c r="A293">
        <f>ROW(Source!A153)</f>
        <v>153</v>
      </c>
      <c r="B293">
        <v>48372101</v>
      </c>
      <c r="C293">
        <v>48372097</v>
      </c>
      <c r="D293">
        <v>37803001</v>
      </c>
      <c r="E293">
        <v>1</v>
      </c>
      <c r="F293">
        <v>1</v>
      </c>
      <c r="G293">
        <v>1</v>
      </c>
      <c r="H293">
        <v>2</v>
      </c>
      <c r="I293" t="s">
        <v>891</v>
      </c>
      <c r="J293" t="s">
        <v>892</v>
      </c>
      <c r="K293" t="s">
        <v>893</v>
      </c>
      <c r="L293">
        <v>1368</v>
      </c>
      <c r="N293">
        <v>1011</v>
      </c>
      <c r="O293" t="s">
        <v>516</v>
      </c>
      <c r="P293" t="s">
        <v>516</v>
      </c>
      <c r="Q293">
        <v>1</v>
      </c>
      <c r="X293">
        <v>9.07</v>
      </c>
      <c r="Y293">
        <v>0</v>
      </c>
      <c r="Z293">
        <v>0.66</v>
      </c>
      <c r="AA293">
        <v>0</v>
      </c>
      <c r="AB293">
        <v>0</v>
      </c>
      <c r="AC293">
        <v>0</v>
      </c>
      <c r="AD293">
        <v>1</v>
      </c>
      <c r="AE293">
        <v>0</v>
      </c>
      <c r="AF293" t="s">
        <v>160</v>
      </c>
      <c r="AG293">
        <v>11.3375</v>
      </c>
      <c r="AH293">
        <v>2</v>
      </c>
      <c r="AI293">
        <v>48372101</v>
      </c>
      <c r="AJ293">
        <v>292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>
      <c r="A294">
        <f>ROW(Source!A153)</f>
        <v>153</v>
      </c>
      <c r="B294">
        <v>48372102</v>
      </c>
      <c r="C294">
        <v>48372097</v>
      </c>
      <c r="D294">
        <v>37768005</v>
      </c>
      <c r="E294">
        <v>1</v>
      </c>
      <c r="F294">
        <v>1</v>
      </c>
      <c r="G294">
        <v>1</v>
      </c>
      <c r="H294">
        <v>3</v>
      </c>
      <c r="I294" t="s">
        <v>894</v>
      </c>
      <c r="J294" t="s">
        <v>895</v>
      </c>
      <c r="K294" t="s">
        <v>896</v>
      </c>
      <c r="L294">
        <v>1339</v>
      </c>
      <c r="N294">
        <v>1007</v>
      </c>
      <c r="O294" t="s">
        <v>543</v>
      </c>
      <c r="P294" t="s">
        <v>543</v>
      </c>
      <c r="Q294">
        <v>1</v>
      </c>
      <c r="X294">
        <v>2.04</v>
      </c>
      <c r="Y294">
        <v>472.01</v>
      </c>
      <c r="Z294">
        <v>0</v>
      </c>
      <c r="AA294">
        <v>0</v>
      </c>
      <c r="AB294">
        <v>0</v>
      </c>
      <c r="AC294">
        <v>0</v>
      </c>
      <c r="AD294">
        <v>1</v>
      </c>
      <c r="AE294">
        <v>0</v>
      </c>
      <c r="AF294" t="s">
        <v>3</v>
      </c>
      <c r="AG294">
        <v>2.04</v>
      </c>
      <c r="AH294">
        <v>2</v>
      </c>
      <c r="AI294">
        <v>48372102</v>
      </c>
      <c r="AJ294">
        <v>293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>
      <c r="A295">
        <f>ROW(Source!A153)</f>
        <v>153</v>
      </c>
      <c r="B295">
        <v>48372103</v>
      </c>
      <c r="C295">
        <v>48372097</v>
      </c>
      <c r="D295">
        <v>37777802</v>
      </c>
      <c r="E295">
        <v>1</v>
      </c>
      <c r="F295">
        <v>1</v>
      </c>
      <c r="G295">
        <v>1</v>
      </c>
      <c r="H295">
        <v>3</v>
      </c>
      <c r="I295" t="s">
        <v>616</v>
      </c>
      <c r="J295" t="s">
        <v>617</v>
      </c>
      <c r="K295" t="s">
        <v>618</v>
      </c>
      <c r="L295">
        <v>1339</v>
      </c>
      <c r="N295">
        <v>1007</v>
      </c>
      <c r="O295" t="s">
        <v>543</v>
      </c>
      <c r="P295" t="s">
        <v>543</v>
      </c>
      <c r="Q295">
        <v>1</v>
      </c>
      <c r="X295">
        <v>3.5</v>
      </c>
      <c r="Y295">
        <v>2.4700000000000002</v>
      </c>
      <c r="Z295">
        <v>0</v>
      </c>
      <c r="AA295">
        <v>0</v>
      </c>
      <c r="AB295">
        <v>0</v>
      </c>
      <c r="AC295">
        <v>0</v>
      </c>
      <c r="AD295">
        <v>1</v>
      </c>
      <c r="AE295">
        <v>0</v>
      </c>
      <c r="AF295" t="s">
        <v>3</v>
      </c>
      <c r="AG295">
        <v>3.5</v>
      </c>
      <c r="AH295">
        <v>2</v>
      </c>
      <c r="AI295">
        <v>48372103</v>
      </c>
      <c r="AJ295">
        <v>294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>
      <c r="A296">
        <f>ROW(Source!A154)</f>
        <v>154</v>
      </c>
      <c r="B296">
        <v>48372105</v>
      </c>
      <c r="C296">
        <v>48372104</v>
      </c>
      <c r="D296">
        <v>23132590</v>
      </c>
      <c r="E296">
        <v>1</v>
      </c>
      <c r="F296">
        <v>1</v>
      </c>
      <c r="G296">
        <v>1</v>
      </c>
      <c r="H296">
        <v>1</v>
      </c>
      <c r="I296" t="s">
        <v>889</v>
      </c>
      <c r="J296" t="s">
        <v>3</v>
      </c>
      <c r="K296" t="s">
        <v>890</v>
      </c>
      <c r="L296">
        <v>1369</v>
      </c>
      <c r="N296">
        <v>1013</v>
      </c>
      <c r="O296" t="s">
        <v>510</v>
      </c>
      <c r="P296" t="s">
        <v>510</v>
      </c>
      <c r="Q296">
        <v>1</v>
      </c>
      <c r="X296">
        <v>0.5</v>
      </c>
      <c r="Y296">
        <v>0</v>
      </c>
      <c r="Z296">
        <v>0</v>
      </c>
      <c r="AA296">
        <v>0</v>
      </c>
      <c r="AB296">
        <v>7.43</v>
      </c>
      <c r="AC296">
        <v>0</v>
      </c>
      <c r="AD296">
        <v>1</v>
      </c>
      <c r="AE296">
        <v>1</v>
      </c>
      <c r="AF296" t="s">
        <v>349</v>
      </c>
      <c r="AG296">
        <v>2.2999999999999998</v>
      </c>
      <c r="AH296">
        <v>2</v>
      </c>
      <c r="AI296">
        <v>48372105</v>
      </c>
      <c r="AJ296">
        <v>295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>
      <c r="A297">
        <f>ROW(Source!A154)</f>
        <v>154</v>
      </c>
      <c r="B297">
        <v>48372106</v>
      </c>
      <c r="C297">
        <v>48372104</v>
      </c>
      <c r="D297">
        <v>121548</v>
      </c>
      <c r="E297">
        <v>1</v>
      </c>
      <c r="F297">
        <v>1</v>
      </c>
      <c r="G297">
        <v>1</v>
      </c>
      <c r="H297">
        <v>1</v>
      </c>
      <c r="I297" t="s">
        <v>24</v>
      </c>
      <c r="J297" t="s">
        <v>3</v>
      </c>
      <c r="K297" t="s">
        <v>511</v>
      </c>
      <c r="L297">
        <v>608254</v>
      </c>
      <c r="N297">
        <v>1013</v>
      </c>
      <c r="O297" t="s">
        <v>512</v>
      </c>
      <c r="P297" t="s">
        <v>512</v>
      </c>
      <c r="Q297">
        <v>1</v>
      </c>
      <c r="X297">
        <v>0.21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1</v>
      </c>
      <c r="AE297">
        <v>2</v>
      </c>
      <c r="AF297" t="s">
        <v>348</v>
      </c>
      <c r="AG297">
        <v>1.05</v>
      </c>
      <c r="AH297">
        <v>2</v>
      </c>
      <c r="AI297">
        <v>48372106</v>
      </c>
      <c r="AJ297">
        <v>296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>
      <c r="A298">
        <f>ROW(Source!A154)</f>
        <v>154</v>
      </c>
      <c r="B298">
        <v>48372107</v>
      </c>
      <c r="C298">
        <v>48372104</v>
      </c>
      <c r="D298">
        <v>37802578</v>
      </c>
      <c r="E298">
        <v>1</v>
      </c>
      <c r="F298">
        <v>1</v>
      </c>
      <c r="G298">
        <v>1</v>
      </c>
      <c r="H298">
        <v>2</v>
      </c>
      <c r="I298" t="s">
        <v>550</v>
      </c>
      <c r="J298" t="s">
        <v>551</v>
      </c>
      <c r="K298" t="s">
        <v>552</v>
      </c>
      <c r="L298">
        <v>1368</v>
      </c>
      <c r="N298">
        <v>1011</v>
      </c>
      <c r="O298" t="s">
        <v>516</v>
      </c>
      <c r="P298" t="s">
        <v>516</v>
      </c>
      <c r="Q298">
        <v>1</v>
      </c>
      <c r="X298">
        <v>0.21</v>
      </c>
      <c r="Y298">
        <v>0</v>
      </c>
      <c r="Z298">
        <v>32.090000000000003</v>
      </c>
      <c r="AA298">
        <v>12.1</v>
      </c>
      <c r="AB298">
        <v>0</v>
      </c>
      <c r="AC298">
        <v>0</v>
      </c>
      <c r="AD298">
        <v>1</v>
      </c>
      <c r="AE298">
        <v>0</v>
      </c>
      <c r="AF298" t="s">
        <v>348</v>
      </c>
      <c r="AG298">
        <v>1.05</v>
      </c>
      <c r="AH298">
        <v>2</v>
      </c>
      <c r="AI298">
        <v>48372107</v>
      </c>
      <c r="AJ298">
        <v>297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>
      <c r="A299">
        <f>ROW(Source!A154)</f>
        <v>154</v>
      </c>
      <c r="B299">
        <v>48372108</v>
      </c>
      <c r="C299">
        <v>48372104</v>
      </c>
      <c r="D299">
        <v>37803001</v>
      </c>
      <c r="E299">
        <v>1</v>
      </c>
      <c r="F299">
        <v>1</v>
      </c>
      <c r="G299">
        <v>1</v>
      </c>
      <c r="H299">
        <v>2</v>
      </c>
      <c r="I299" t="s">
        <v>891</v>
      </c>
      <c r="J299" t="s">
        <v>892</v>
      </c>
      <c r="K299" t="s">
        <v>893</v>
      </c>
      <c r="L299">
        <v>1368</v>
      </c>
      <c r="N299">
        <v>1011</v>
      </c>
      <c r="O299" t="s">
        <v>516</v>
      </c>
      <c r="P299" t="s">
        <v>516</v>
      </c>
      <c r="Q299">
        <v>1</v>
      </c>
      <c r="X299">
        <v>2.3199999999999998</v>
      </c>
      <c r="Y299">
        <v>0</v>
      </c>
      <c r="Z299">
        <v>0.66</v>
      </c>
      <c r="AA299">
        <v>0</v>
      </c>
      <c r="AB299">
        <v>0</v>
      </c>
      <c r="AC299">
        <v>0</v>
      </c>
      <c r="AD299">
        <v>1</v>
      </c>
      <c r="AE299">
        <v>0</v>
      </c>
      <c r="AF299" t="s">
        <v>348</v>
      </c>
      <c r="AG299">
        <v>11.6</v>
      </c>
      <c r="AH299">
        <v>2</v>
      </c>
      <c r="AI299">
        <v>48372108</v>
      </c>
      <c r="AJ299">
        <v>298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>
      <c r="A300">
        <f>ROW(Source!A154)</f>
        <v>154</v>
      </c>
      <c r="B300">
        <v>48372109</v>
      </c>
      <c r="C300">
        <v>48372104</v>
      </c>
      <c r="D300">
        <v>37768005</v>
      </c>
      <c r="E300">
        <v>1</v>
      </c>
      <c r="F300">
        <v>1</v>
      </c>
      <c r="G300">
        <v>1</v>
      </c>
      <c r="H300">
        <v>3</v>
      </c>
      <c r="I300" t="s">
        <v>894</v>
      </c>
      <c r="J300" t="s">
        <v>895</v>
      </c>
      <c r="K300" t="s">
        <v>896</v>
      </c>
      <c r="L300">
        <v>1339</v>
      </c>
      <c r="N300">
        <v>1007</v>
      </c>
      <c r="O300" t="s">
        <v>543</v>
      </c>
      <c r="P300" t="s">
        <v>543</v>
      </c>
      <c r="Q300">
        <v>1</v>
      </c>
      <c r="X300">
        <v>0.51</v>
      </c>
      <c r="Y300">
        <v>472.01</v>
      </c>
      <c r="Z300">
        <v>0</v>
      </c>
      <c r="AA300">
        <v>0</v>
      </c>
      <c r="AB300">
        <v>0</v>
      </c>
      <c r="AC300">
        <v>0</v>
      </c>
      <c r="AD300">
        <v>1</v>
      </c>
      <c r="AE300">
        <v>0</v>
      </c>
      <c r="AF300" t="s">
        <v>347</v>
      </c>
      <c r="AG300">
        <v>2.04</v>
      </c>
      <c r="AH300">
        <v>2</v>
      </c>
      <c r="AI300">
        <v>48372109</v>
      </c>
      <c r="AJ300">
        <v>299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>
      <c r="A301">
        <f>ROW(Source!A155)</f>
        <v>155</v>
      </c>
      <c r="B301">
        <v>48372115</v>
      </c>
      <c r="C301">
        <v>48372114</v>
      </c>
      <c r="D301">
        <v>23134955</v>
      </c>
      <c r="E301">
        <v>1</v>
      </c>
      <c r="F301">
        <v>1</v>
      </c>
      <c r="G301">
        <v>1</v>
      </c>
      <c r="H301">
        <v>1</v>
      </c>
      <c r="I301" t="s">
        <v>662</v>
      </c>
      <c r="J301" t="s">
        <v>3</v>
      </c>
      <c r="K301" t="s">
        <v>663</v>
      </c>
      <c r="L301">
        <v>1369</v>
      </c>
      <c r="N301">
        <v>1013</v>
      </c>
      <c r="O301" t="s">
        <v>510</v>
      </c>
      <c r="P301" t="s">
        <v>510</v>
      </c>
      <c r="Q301">
        <v>1</v>
      </c>
      <c r="X301">
        <v>310.42</v>
      </c>
      <c r="Y301">
        <v>0</v>
      </c>
      <c r="Z301">
        <v>0</v>
      </c>
      <c r="AA301">
        <v>0</v>
      </c>
      <c r="AB301">
        <v>8.17</v>
      </c>
      <c r="AC301">
        <v>0</v>
      </c>
      <c r="AD301">
        <v>1</v>
      </c>
      <c r="AE301">
        <v>1</v>
      </c>
      <c r="AF301" t="s">
        <v>161</v>
      </c>
      <c r="AG301">
        <v>356.983</v>
      </c>
      <c r="AH301">
        <v>2</v>
      </c>
      <c r="AI301">
        <v>48372115</v>
      </c>
      <c r="AJ301">
        <v>300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>
      <c r="A302">
        <f>ROW(Source!A155)</f>
        <v>155</v>
      </c>
      <c r="B302">
        <v>48372116</v>
      </c>
      <c r="C302">
        <v>48372114</v>
      </c>
      <c r="D302">
        <v>121548</v>
      </c>
      <c r="E302">
        <v>1</v>
      </c>
      <c r="F302">
        <v>1</v>
      </c>
      <c r="G302">
        <v>1</v>
      </c>
      <c r="H302">
        <v>1</v>
      </c>
      <c r="I302" t="s">
        <v>24</v>
      </c>
      <c r="J302" t="s">
        <v>3</v>
      </c>
      <c r="K302" t="s">
        <v>511</v>
      </c>
      <c r="L302">
        <v>608254</v>
      </c>
      <c r="N302">
        <v>1013</v>
      </c>
      <c r="O302" t="s">
        <v>512</v>
      </c>
      <c r="P302" t="s">
        <v>512</v>
      </c>
      <c r="Q302">
        <v>1</v>
      </c>
      <c r="X302">
        <v>1.72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1</v>
      </c>
      <c r="AE302">
        <v>2</v>
      </c>
      <c r="AF302" t="s">
        <v>160</v>
      </c>
      <c r="AG302">
        <v>2.15</v>
      </c>
      <c r="AH302">
        <v>2</v>
      </c>
      <c r="AI302">
        <v>48372116</v>
      </c>
      <c r="AJ302">
        <v>301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>
      <c r="A303">
        <f>ROW(Source!A155)</f>
        <v>155</v>
      </c>
      <c r="B303">
        <v>48372117</v>
      </c>
      <c r="C303">
        <v>48372114</v>
      </c>
      <c r="D303">
        <v>37802358</v>
      </c>
      <c r="E303">
        <v>1</v>
      </c>
      <c r="F303">
        <v>1</v>
      </c>
      <c r="G303">
        <v>1</v>
      </c>
      <c r="H303">
        <v>2</v>
      </c>
      <c r="I303" t="s">
        <v>664</v>
      </c>
      <c r="J303" t="s">
        <v>665</v>
      </c>
      <c r="K303" t="s">
        <v>666</v>
      </c>
      <c r="L303">
        <v>1368</v>
      </c>
      <c r="N303">
        <v>1011</v>
      </c>
      <c r="O303" t="s">
        <v>516</v>
      </c>
      <c r="P303" t="s">
        <v>516</v>
      </c>
      <c r="Q303">
        <v>1</v>
      </c>
      <c r="X303">
        <v>0.02</v>
      </c>
      <c r="Y303">
        <v>0</v>
      </c>
      <c r="Z303">
        <v>100.33</v>
      </c>
      <c r="AA303">
        <v>12.1</v>
      </c>
      <c r="AB303">
        <v>0</v>
      </c>
      <c r="AC303">
        <v>0</v>
      </c>
      <c r="AD303">
        <v>1</v>
      </c>
      <c r="AE303">
        <v>0</v>
      </c>
      <c r="AF303" t="s">
        <v>160</v>
      </c>
      <c r="AG303">
        <v>2.5000000000000001E-2</v>
      </c>
      <c r="AH303">
        <v>2</v>
      </c>
      <c r="AI303">
        <v>48372117</v>
      </c>
      <c r="AJ303">
        <v>302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>
      <c r="A304">
        <f>ROW(Source!A155)</f>
        <v>155</v>
      </c>
      <c r="B304">
        <v>48372118</v>
      </c>
      <c r="C304">
        <v>48372114</v>
      </c>
      <c r="D304">
        <v>37802442</v>
      </c>
      <c r="E304">
        <v>1</v>
      </c>
      <c r="F304">
        <v>1</v>
      </c>
      <c r="G304">
        <v>1</v>
      </c>
      <c r="H304">
        <v>2</v>
      </c>
      <c r="I304" t="s">
        <v>667</v>
      </c>
      <c r="J304" t="s">
        <v>668</v>
      </c>
      <c r="K304" t="s">
        <v>669</v>
      </c>
      <c r="L304">
        <v>1368</v>
      </c>
      <c r="N304">
        <v>1011</v>
      </c>
      <c r="O304" t="s">
        <v>516</v>
      </c>
      <c r="P304" t="s">
        <v>516</v>
      </c>
      <c r="Q304">
        <v>1</v>
      </c>
      <c r="X304">
        <v>0.01</v>
      </c>
      <c r="Y304">
        <v>0</v>
      </c>
      <c r="Z304">
        <v>104.01</v>
      </c>
      <c r="AA304">
        <v>10.35</v>
      </c>
      <c r="AB304">
        <v>0</v>
      </c>
      <c r="AC304">
        <v>0</v>
      </c>
      <c r="AD304">
        <v>1</v>
      </c>
      <c r="AE304">
        <v>0</v>
      </c>
      <c r="AF304" t="s">
        <v>160</v>
      </c>
      <c r="AG304">
        <v>1.2500000000000001E-2</v>
      </c>
      <c r="AH304">
        <v>2</v>
      </c>
      <c r="AI304">
        <v>48372118</v>
      </c>
      <c r="AJ304">
        <v>303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>
      <c r="A305">
        <f>ROW(Source!A155)</f>
        <v>155</v>
      </c>
      <c r="B305">
        <v>48372119</v>
      </c>
      <c r="C305">
        <v>48372114</v>
      </c>
      <c r="D305">
        <v>37802992</v>
      </c>
      <c r="E305">
        <v>1</v>
      </c>
      <c r="F305">
        <v>1</v>
      </c>
      <c r="G305">
        <v>1</v>
      </c>
      <c r="H305">
        <v>2</v>
      </c>
      <c r="I305" t="s">
        <v>653</v>
      </c>
      <c r="J305" t="s">
        <v>654</v>
      </c>
      <c r="K305" t="s">
        <v>655</v>
      </c>
      <c r="L305">
        <v>1368</v>
      </c>
      <c r="N305">
        <v>1011</v>
      </c>
      <c r="O305" t="s">
        <v>516</v>
      </c>
      <c r="P305" t="s">
        <v>516</v>
      </c>
      <c r="Q305">
        <v>1</v>
      </c>
      <c r="X305">
        <v>1.69</v>
      </c>
      <c r="Y305">
        <v>0</v>
      </c>
      <c r="Z305">
        <v>11.32</v>
      </c>
      <c r="AA305">
        <v>9</v>
      </c>
      <c r="AB305">
        <v>0</v>
      </c>
      <c r="AC305">
        <v>0</v>
      </c>
      <c r="AD305">
        <v>1</v>
      </c>
      <c r="AE305">
        <v>0</v>
      </c>
      <c r="AF305" t="s">
        <v>160</v>
      </c>
      <c r="AG305">
        <v>2.1124999999999998</v>
      </c>
      <c r="AH305">
        <v>2</v>
      </c>
      <c r="AI305">
        <v>48372119</v>
      </c>
      <c r="AJ305">
        <v>304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>
      <c r="A306">
        <f>ROW(Source!A155)</f>
        <v>155</v>
      </c>
      <c r="B306">
        <v>48372120</v>
      </c>
      <c r="C306">
        <v>48372114</v>
      </c>
      <c r="D306">
        <v>37804194</v>
      </c>
      <c r="E306">
        <v>1</v>
      </c>
      <c r="F306">
        <v>1</v>
      </c>
      <c r="G306">
        <v>1</v>
      </c>
      <c r="H306">
        <v>2</v>
      </c>
      <c r="I306" t="s">
        <v>670</v>
      </c>
      <c r="J306" t="s">
        <v>671</v>
      </c>
      <c r="K306" t="s">
        <v>672</v>
      </c>
      <c r="L306">
        <v>1368</v>
      </c>
      <c r="N306">
        <v>1011</v>
      </c>
      <c r="O306" t="s">
        <v>516</v>
      </c>
      <c r="P306" t="s">
        <v>516</v>
      </c>
      <c r="Q306">
        <v>1</v>
      </c>
      <c r="X306">
        <v>0.05</v>
      </c>
      <c r="Y306">
        <v>0</v>
      </c>
      <c r="Z306">
        <v>11.02</v>
      </c>
      <c r="AA306">
        <v>0</v>
      </c>
      <c r="AB306">
        <v>0</v>
      </c>
      <c r="AC306">
        <v>0</v>
      </c>
      <c r="AD306">
        <v>1</v>
      </c>
      <c r="AE306">
        <v>0</v>
      </c>
      <c r="AF306" t="s">
        <v>160</v>
      </c>
      <c r="AG306">
        <v>6.25E-2</v>
      </c>
      <c r="AH306">
        <v>2</v>
      </c>
      <c r="AI306">
        <v>48372120</v>
      </c>
      <c r="AJ306">
        <v>305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</row>
    <row r="307" spans="1:44">
      <c r="A307">
        <f>ROW(Source!A155)</f>
        <v>155</v>
      </c>
      <c r="B307">
        <v>48372121</v>
      </c>
      <c r="C307">
        <v>48372114</v>
      </c>
      <c r="D307">
        <v>37804456</v>
      </c>
      <c r="E307">
        <v>1</v>
      </c>
      <c r="F307">
        <v>1</v>
      </c>
      <c r="G307">
        <v>1</v>
      </c>
      <c r="H307">
        <v>2</v>
      </c>
      <c r="I307" t="s">
        <v>530</v>
      </c>
      <c r="J307" t="s">
        <v>531</v>
      </c>
      <c r="K307" t="s">
        <v>532</v>
      </c>
      <c r="L307">
        <v>1368</v>
      </c>
      <c r="N307">
        <v>1011</v>
      </c>
      <c r="O307" t="s">
        <v>516</v>
      </c>
      <c r="P307" t="s">
        <v>516</v>
      </c>
      <c r="Q307">
        <v>1</v>
      </c>
      <c r="X307">
        <v>0.01</v>
      </c>
      <c r="Y307">
        <v>0</v>
      </c>
      <c r="Z307">
        <v>91.76</v>
      </c>
      <c r="AA307">
        <v>10.35</v>
      </c>
      <c r="AB307">
        <v>0</v>
      </c>
      <c r="AC307">
        <v>0</v>
      </c>
      <c r="AD307">
        <v>1</v>
      </c>
      <c r="AE307">
        <v>0</v>
      </c>
      <c r="AF307" t="s">
        <v>160</v>
      </c>
      <c r="AG307">
        <v>1.2500000000000001E-2</v>
      </c>
      <c r="AH307">
        <v>2</v>
      </c>
      <c r="AI307">
        <v>48372121</v>
      </c>
      <c r="AJ307">
        <v>306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>
      <c r="A308">
        <f>ROW(Source!A155)</f>
        <v>155</v>
      </c>
      <c r="B308">
        <v>48372122</v>
      </c>
      <c r="C308">
        <v>48372114</v>
      </c>
      <c r="D308">
        <v>37730034</v>
      </c>
      <c r="E308">
        <v>1</v>
      </c>
      <c r="F308">
        <v>1</v>
      </c>
      <c r="G308">
        <v>1</v>
      </c>
      <c r="H308">
        <v>3</v>
      </c>
      <c r="I308" t="s">
        <v>673</v>
      </c>
      <c r="J308" t="s">
        <v>674</v>
      </c>
      <c r="K308" t="s">
        <v>675</v>
      </c>
      <c r="L308">
        <v>1348</v>
      </c>
      <c r="N308">
        <v>1009</v>
      </c>
      <c r="O308" t="s">
        <v>536</v>
      </c>
      <c r="P308" t="s">
        <v>536</v>
      </c>
      <c r="Q308">
        <v>1000</v>
      </c>
      <c r="X308">
        <v>1.2999999999999999E-2</v>
      </c>
      <c r="Y308">
        <v>6610.69</v>
      </c>
      <c r="Z308">
        <v>0</v>
      </c>
      <c r="AA308">
        <v>0</v>
      </c>
      <c r="AB308">
        <v>0</v>
      </c>
      <c r="AC308">
        <v>0</v>
      </c>
      <c r="AD308">
        <v>1</v>
      </c>
      <c r="AE308">
        <v>0</v>
      </c>
      <c r="AF308" t="s">
        <v>3</v>
      </c>
      <c r="AG308">
        <v>1.2999999999999999E-2</v>
      </c>
      <c r="AH308">
        <v>2</v>
      </c>
      <c r="AI308">
        <v>48372122</v>
      </c>
      <c r="AJ308">
        <v>307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>
      <c r="A309">
        <f>ROW(Source!A155)</f>
        <v>155</v>
      </c>
      <c r="B309">
        <v>48372123</v>
      </c>
      <c r="C309">
        <v>48372114</v>
      </c>
      <c r="D309">
        <v>37731608</v>
      </c>
      <c r="E309">
        <v>1</v>
      </c>
      <c r="F309">
        <v>1</v>
      </c>
      <c r="G309">
        <v>1</v>
      </c>
      <c r="H309">
        <v>3</v>
      </c>
      <c r="I309" t="s">
        <v>676</v>
      </c>
      <c r="J309" t="s">
        <v>677</v>
      </c>
      <c r="K309" t="s">
        <v>678</v>
      </c>
      <c r="L309">
        <v>1346</v>
      </c>
      <c r="N309">
        <v>1009</v>
      </c>
      <c r="O309" t="s">
        <v>172</v>
      </c>
      <c r="P309" t="s">
        <v>172</v>
      </c>
      <c r="Q309">
        <v>1</v>
      </c>
      <c r="X309">
        <v>1200</v>
      </c>
      <c r="Y309">
        <v>3.74</v>
      </c>
      <c r="Z309">
        <v>0</v>
      </c>
      <c r="AA309">
        <v>0</v>
      </c>
      <c r="AB309">
        <v>0</v>
      </c>
      <c r="AC309">
        <v>0</v>
      </c>
      <c r="AD309">
        <v>1</v>
      </c>
      <c r="AE309">
        <v>0</v>
      </c>
      <c r="AF309" t="s">
        <v>3</v>
      </c>
      <c r="AG309">
        <v>1200</v>
      </c>
      <c r="AH309">
        <v>2</v>
      </c>
      <c r="AI309">
        <v>48372123</v>
      </c>
      <c r="AJ309">
        <v>308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</row>
    <row r="310" spans="1:44">
      <c r="A310">
        <f>ROW(Source!A155)</f>
        <v>155</v>
      </c>
      <c r="B310">
        <v>48372124</v>
      </c>
      <c r="C310">
        <v>48372114</v>
      </c>
      <c r="D310">
        <v>37731963</v>
      </c>
      <c r="E310">
        <v>1</v>
      </c>
      <c r="F310">
        <v>1</v>
      </c>
      <c r="G310">
        <v>1</v>
      </c>
      <c r="H310">
        <v>3</v>
      </c>
      <c r="I310" t="s">
        <v>679</v>
      </c>
      <c r="J310" t="s">
        <v>680</v>
      </c>
      <c r="K310" t="s">
        <v>681</v>
      </c>
      <c r="L310">
        <v>1327</v>
      </c>
      <c r="N310">
        <v>1005</v>
      </c>
      <c r="O310" t="s">
        <v>189</v>
      </c>
      <c r="P310" t="s">
        <v>189</v>
      </c>
      <c r="Q310">
        <v>1</v>
      </c>
      <c r="X310">
        <v>102</v>
      </c>
      <c r="Y310">
        <v>142.57</v>
      </c>
      <c r="Z310">
        <v>0</v>
      </c>
      <c r="AA310">
        <v>0</v>
      </c>
      <c r="AB310">
        <v>0</v>
      </c>
      <c r="AC310">
        <v>0</v>
      </c>
      <c r="AD310">
        <v>1</v>
      </c>
      <c r="AE310">
        <v>0</v>
      </c>
      <c r="AF310" t="s">
        <v>3</v>
      </c>
      <c r="AG310">
        <v>102</v>
      </c>
      <c r="AH310">
        <v>2</v>
      </c>
      <c r="AI310">
        <v>48372124</v>
      </c>
      <c r="AJ310">
        <v>309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</row>
    <row r="311" spans="1:44">
      <c r="A311">
        <f>ROW(Source!A155)</f>
        <v>155</v>
      </c>
      <c r="B311">
        <v>48372125</v>
      </c>
      <c r="C311">
        <v>48372114</v>
      </c>
      <c r="D311">
        <v>37731442</v>
      </c>
      <c r="E311">
        <v>1</v>
      </c>
      <c r="F311">
        <v>1</v>
      </c>
      <c r="G311">
        <v>1</v>
      </c>
      <c r="H311">
        <v>3</v>
      </c>
      <c r="I311" t="s">
        <v>628</v>
      </c>
      <c r="J311" t="s">
        <v>629</v>
      </c>
      <c r="K311" t="s">
        <v>630</v>
      </c>
      <c r="L311">
        <v>1348</v>
      </c>
      <c r="N311">
        <v>1009</v>
      </c>
      <c r="O311" t="s">
        <v>536</v>
      </c>
      <c r="P311" t="s">
        <v>536</v>
      </c>
      <c r="Q311">
        <v>1000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1</v>
      </c>
      <c r="AD311">
        <v>0</v>
      </c>
      <c r="AE311">
        <v>0</v>
      </c>
      <c r="AF311" t="s">
        <v>3</v>
      </c>
      <c r="AG311">
        <v>0</v>
      </c>
      <c r="AH311">
        <v>2</v>
      </c>
      <c r="AI311">
        <v>48372125</v>
      </c>
      <c r="AJ311">
        <v>310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</row>
    <row r="312" spans="1:44">
      <c r="A312">
        <f>ROW(Source!A155)</f>
        <v>155</v>
      </c>
      <c r="B312">
        <v>48372126</v>
      </c>
      <c r="C312">
        <v>48372114</v>
      </c>
      <c r="D312">
        <v>37753185</v>
      </c>
      <c r="E312">
        <v>1</v>
      </c>
      <c r="F312">
        <v>1</v>
      </c>
      <c r="G312">
        <v>1</v>
      </c>
      <c r="H312">
        <v>3</v>
      </c>
      <c r="I312" t="s">
        <v>682</v>
      </c>
      <c r="J312" t="s">
        <v>683</v>
      </c>
      <c r="K312" t="s">
        <v>684</v>
      </c>
      <c r="L312">
        <v>1339</v>
      </c>
      <c r="N312">
        <v>1007</v>
      </c>
      <c r="O312" t="s">
        <v>543</v>
      </c>
      <c r="P312" t="s">
        <v>543</v>
      </c>
      <c r="Q312">
        <v>1</v>
      </c>
      <c r="X312">
        <v>0.01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 t="s">
        <v>3</v>
      </c>
      <c r="AG312">
        <v>0.01</v>
      </c>
      <c r="AH312">
        <v>2</v>
      </c>
      <c r="AI312">
        <v>48372126</v>
      </c>
      <c r="AJ312">
        <v>311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</row>
    <row r="313" spans="1:44">
      <c r="A313">
        <f>ROW(Source!A155)</f>
        <v>155</v>
      </c>
      <c r="B313">
        <v>48372127</v>
      </c>
      <c r="C313">
        <v>48372114</v>
      </c>
      <c r="D313">
        <v>37777802</v>
      </c>
      <c r="E313">
        <v>1</v>
      </c>
      <c r="F313">
        <v>1</v>
      </c>
      <c r="G313">
        <v>1</v>
      </c>
      <c r="H313">
        <v>3</v>
      </c>
      <c r="I313" t="s">
        <v>616</v>
      </c>
      <c r="J313" t="s">
        <v>617</v>
      </c>
      <c r="K313" t="s">
        <v>618</v>
      </c>
      <c r="L313">
        <v>1339</v>
      </c>
      <c r="N313">
        <v>1007</v>
      </c>
      <c r="O313" t="s">
        <v>543</v>
      </c>
      <c r="P313" t="s">
        <v>543</v>
      </c>
      <c r="Q313">
        <v>1</v>
      </c>
      <c r="X313">
        <v>0.44</v>
      </c>
      <c r="Y313">
        <v>2.4700000000000002</v>
      </c>
      <c r="Z313">
        <v>0</v>
      </c>
      <c r="AA313">
        <v>0</v>
      </c>
      <c r="AB313">
        <v>0</v>
      </c>
      <c r="AC313">
        <v>0</v>
      </c>
      <c r="AD313">
        <v>1</v>
      </c>
      <c r="AE313">
        <v>0</v>
      </c>
      <c r="AF313" t="s">
        <v>3</v>
      </c>
      <c r="AG313">
        <v>0.44</v>
      </c>
      <c r="AH313">
        <v>2</v>
      </c>
      <c r="AI313">
        <v>48372127</v>
      </c>
      <c r="AJ313">
        <v>312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</row>
    <row r="314" spans="1:44">
      <c r="A314">
        <f>ROW(Source!A157)</f>
        <v>157</v>
      </c>
      <c r="B314">
        <v>48372250</v>
      </c>
      <c r="C314">
        <v>48372249</v>
      </c>
      <c r="D314">
        <v>23136905</v>
      </c>
      <c r="E314">
        <v>1</v>
      </c>
      <c r="F314">
        <v>1</v>
      </c>
      <c r="G314">
        <v>1</v>
      </c>
      <c r="H314">
        <v>1</v>
      </c>
      <c r="I314" t="s">
        <v>648</v>
      </c>
      <c r="J314" t="s">
        <v>3</v>
      </c>
      <c r="K314" t="s">
        <v>649</v>
      </c>
      <c r="L314">
        <v>1369</v>
      </c>
      <c r="N314">
        <v>1013</v>
      </c>
      <c r="O314" t="s">
        <v>510</v>
      </c>
      <c r="P314" t="s">
        <v>510</v>
      </c>
      <c r="Q314">
        <v>1</v>
      </c>
      <c r="X314">
        <v>159.66999999999999</v>
      </c>
      <c r="Y314">
        <v>0</v>
      </c>
      <c r="Z314">
        <v>0</v>
      </c>
      <c r="AA314">
        <v>0</v>
      </c>
      <c r="AB314">
        <v>8.58</v>
      </c>
      <c r="AC314">
        <v>0</v>
      </c>
      <c r="AD314">
        <v>1</v>
      </c>
      <c r="AE314">
        <v>1</v>
      </c>
      <c r="AF314" t="s">
        <v>161</v>
      </c>
      <c r="AG314">
        <v>183.62049999999996</v>
      </c>
      <c r="AH314">
        <v>2</v>
      </c>
      <c r="AI314">
        <v>48372250</v>
      </c>
      <c r="AJ314">
        <v>313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  <row r="315" spans="1:44">
      <c r="A315">
        <f>ROW(Source!A157)</f>
        <v>157</v>
      </c>
      <c r="B315">
        <v>48372251</v>
      </c>
      <c r="C315">
        <v>48372249</v>
      </c>
      <c r="D315">
        <v>121548</v>
      </c>
      <c r="E315">
        <v>1</v>
      </c>
      <c r="F315">
        <v>1</v>
      </c>
      <c r="G315">
        <v>1</v>
      </c>
      <c r="H315">
        <v>1</v>
      </c>
      <c r="I315" t="s">
        <v>24</v>
      </c>
      <c r="J315" t="s">
        <v>3</v>
      </c>
      <c r="K315" t="s">
        <v>511</v>
      </c>
      <c r="L315">
        <v>608254</v>
      </c>
      <c r="N315">
        <v>1013</v>
      </c>
      <c r="O315" t="s">
        <v>512</v>
      </c>
      <c r="P315" t="s">
        <v>512</v>
      </c>
      <c r="Q315">
        <v>1</v>
      </c>
      <c r="X315">
        <v>1.65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1</v>
      </c>
      <c r="AE315">
        <v>2</v>
      </c>
      <c r="AF315" t="s">
        <v>160</v>
      </c>
      <c r="AG315">
        <v>2.0625</v>
      </c>
      <c r="AH315">
        <v>2</v>
      </c>
      <c r="AI315">
        <v>48372251</v>
      </c>
      <c r="AJ315">
        <v>314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</row>
    <row r="316" spans="1:44">
      <c r="A316">
        <f>ROW(Source!A157)</f>
        <v>157</v>
      </c>
      <c r="B316">
        <v>48372252</v>
      </c>
      <c r="C316">
        <v>48372249</v>
      </c>
      <c r="D316">
        <v>37802515</v>
      </c>
      <c r="E316">
        <v>1</v>
      </c>
      <c r="F316">
        <v>1</v>
      </c>
      <c r="G316">
        <v>1</v>
      </c>
      <c r="H316">
        <v>2</v>
      </c>
      <c r="I316" t="s">
        <v>650</v>
      </c>
      <c r="J316" t="s">
        <v>651</v>
      </c>
      <c r="K316" t="s">
        <v>652</v>
      </c>
      <c r="L316">
        <v>1368</v>
      </c>
      <c r="N316">
        <v>1011</v>
      </c>
      <c r="O316" t="s">
        <v>516</v>
      </c>
      <c r="P316" t="s">
        <v>516</v>
      </c>
      <c r="Q316">
        <v>1</v>
      </c>
      <c r="X316">
        <v>0.08</v>
      </c>
      <c r="Y316">
        <v>0</v>
      </c>
      <c r="Z316">
        <v>87.24</v>
      </c>
      <c r="AA316">
        <v>9</v>
      </c>
      <c r="AB316">
        <v>0</v>
      </c>
      <c r="AC316">
        <v>0</v>
      </c>
      <c r="AD316">
        <v>1</v>
      </c>
      <c r="AE316">
        <v>0</v>
      </c>
      <c r="AF316" t="s">
        <v>160</v>
      </c>
      <c r="AG316">
        <v>0.1</v>
      </c>
      <c r="AH316">
        <v>2</v>
      </c>
      <c r="AI316">
        <v>48372252</v>
      </c>
      <c r="AJ316">
        <v>315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</row>
    <row r="317" spans="1:44">
      <c r="A317">
        <f>ROW(Source!A157)</f>
        <v>157</v>
      </c>
      <c r="B317">
        <v>48372253</v>
      </c>
      <c r="C317">
        <v>48372249</v>
      </c>
      <c r="D317">
        <v>37802578</v>
      </c>
      <c r="E317">
        <v>1</v>
      </c>
      <c r="F317">
        <v>1</v>
      </c>
      <c r="G317">
        <v>1</v>
      </c>
      <c r="H317">
        <v>2</v>
      </c>
      <c r="I317" t="s">
        <v>550</v>
      </c>
      <c r="J317" t="s">
        <v>551</v>
      </c>
      <c r="K317" t="s">
        <v>552</v>
      </c>
      <c r="L317">
        <v>1368</v>
      </c>
      <c r="N317">
        <v>1011</v>
      </c>
      <c r="O317" t="s">
        <v>516</v>
      </c>
      <c r="P317" t="s">
        <v>516</v>
      </c>
      <c r="Q317">
        <v>1</v>
      </c>
      <c r="X317">
        <v>0.27</v>
      </c>
      <c r="Y317">
        <v>0</v>
      </c>
      <c r="Z317">
        <v>32.090000000000003</v>
      </c>
      <c r="AA317">
        <v>12.1</v>
      </c>
      <c r="AB317">
        <v>0</v>
      </c>
      <c r="AC317">
        <v>0</v>
      </c>
      <c r="AD317">
        <v>1</v>
      </c>
      <c r="AE317">
        <v>0</v>
      </c>
      <c r="AF317" t="s">
        <v>160</v>
      </c>
      <c r="AG317">
        <v>0.33750000000000002</v>
      </c>
      <c r="AH317">
        <v>2</v>
      </c>
      <c r="AI317">
        <v>48372253</v>
      </c>
      <c r="AJ317">
        <v>316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</row>
    <row r="318" spans="1:44">
      <c r="A318">
        <f>ROW(Source!A157)</f>
        <v>157</v>
      </c>
      <c r="B318">
        <v>48372254</v>
      </c>
      <c r="C318">
        <v>48372249</v>
      </c>
      <c r="D318">
        <v>37802992</v>
      </c>
      <c r="E318">
        <v>1</v>
      </c>
      <c r="F318">
        <v>1</v>
      </c>
      <c r="G318">
        <v>1</v>
      </c>
      <c r="H318">
        <v>2</v>
      </c>
      <c r="I318" t="s">
        <v>653</v>
      </c>
      <c r="J318" t="s">
        <v>654</v>
      </c>
      <c r="K318" t="s">
        <v>655</v>
      </c>
      <c r="L318">
        <v>1368</v>
      </c>
      <c r="N318">
        <v>1011</v>
      </c>
      <c r="O318" t="s">
        <v>516</v>
      </c>
      <c r="P318" t="s">
        <v>516</v>
      </c>
      <c r="Q318">
        <v>1</v>
      </c>
      <c r="X318">
        <v>1.3</v>
      </c>
      <c r="Y318">
        <v>0</v>
      </c>
      <c r="Z318">
        <v>11.32</v>
      </c>
      <c r="AA318">
        <v>9</v>
      </c>
      <c r="AB318">
        <v>0</v>
      </c>
      <c r="AC318">
        <v>0</v>
      </c>
      <c r="AD318">
        <v>1</v>
      </c>
      <c r="AE318">
        <v>0</v>
      </c>
      <c r="AF318" t="s">
        <v>160</v>
      </c>
      <c r="AG318">
        <v>1.625</v>
      </c>
      <c r="AH318">
        <v>2</v>
      </c>
      <c r="AI318">
        <v>48372254</v>
      </c>
      <c r="AJ318">
        <v>317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</row>
    <row r="319" spans="1:44">
      <c r="A319">
        <f>ROW(Source!A157)</f>
        <v>157</v>
      </c>
      <c r="B319">
        <v>48372255</v>
      </c>
      <c r="C319">
        <v>48372249</v>
      </c>
      <c r="D319">
        <v>37732053</v>
      </c>
      <c r="E319">
        <v>1</v>
      </c>
      <c r="F319">
        <v>1</v>
      </c>
      <c r="G319">
        <v>1</v>
      </c>
      <c r="H319">
        <v>3</v>
      </c>
      <c r="I319" t="s">
        <v>187</v>
      </c>
      <c r="J319" t="s">
        <v>190</v>
      </c>
      <c r="K319" t="s">
        <v>188</v>
      </c>
      <c r="L319">
        <v>1327</v>
      </c>
      <c r="N319">
        <v>1005</v>
      </c>
      <c r="O319" t="s">
        <v>189</v>
      </c>
      <c r="P319" t="s">
        <v>189</v>
      </c>
      <c r="Q319">
        <v>1</v>
      </c>
      <c r="X319">
        <v>100</v>
      </c>
      <c r="Y319">
        <v>68</v>
      </c>
      <c r="Z319">
        <v>0</v>
      </c>
      <c r="AA319">
        <v>0</v>
      </c>
      <c r="AB319">
        <v>0</v>
      </c>
      <c r="AC319">
        <v>0</v>
      </c>
      <c r="AD319">
        <v>1</v>
      </c>
      <c r="AE319">
        <v>0</v>
      </c>
      <c r="AF319" t="s">
        <v>3</v>
      </c>
      <c r="AG319">
        <v>100</v>
      </c>
      <c r="AH319">
        <v>2</v>
      </c>
      <c r="AI319">
        <v>48372255</v>
      </c>
      <c r="AJ319">
        <v>318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>
      <c r="A320">
        <f>ROW(Source!A157)</f>
        <v>157</v>
      </c>
      <c r="B320">
        <v>48372256</v>
      </c>
      <c r="C320">
        <v>48372249</v>
      </c>
      <c r="D320">
        <v>37729991</v>
      </c>
      <c r="E320">
        <v>1</v>
      </c>
      <c r="F320">
        <v>1</v>
      </c>
      <c r="G320">
        <v>1</v>
      </c>
      <c r="H320">
        <v>3</v>
      </c>
      <c r="I320" t="s">
        <v>625</v>
      </c>
      <c r="J320" t="s">
        <v>626</v>
      </c>
      <c r="K320" t="s">
        <v>627</v>
      </c>
      <c r="L320">
        <v>1346</v>
      </c>
      <c r="N320">
        <v>1009</v>
      </c>
      <c r="O320" t="s">
        <v>172</v>
      </c>
      <c r="P320" t="s">
        <v>172</v>
      </c>
      <c r="Q320">
        <v>1</v>
      </c>
      <c r="X320">
        <v>0.5</v>
      </c>
      <c r="Y320">
        <v>1.82</v>
      </c>
      <c r="Z320">
        <v>0</v>
      </c>
      <c r="AA320">
        <v>0</v>
      </c>
      <c r="AB320">
        <v>0</v>
      </c>
      <c r="AC320">
        <v>0</v>
      </c>
      <c r="AD320">
        <v>1</v>
      </c>
      <c r="AE320">
        <v>0</v>
      </c>
      <c r="AF320" t="s">
        <v>3</v>
      </c>
      <c r="AG320">
        <v>0.5</v>
      </c>
      <c r="AH320">
        <v>2</v>
      </c>
      <c r="AI320">
        <v>48372256</v>
      </c>
      <c r="AJ320">
        <v>319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</row>
    <row r="321" spans="1:44">
      <c r="A321">
        <f>ROW(Source!A157)</f>
        <v>157</v>
      </c>
      <c r="B321">
        <v>48372257</v>
      </c>
      <c r="C321">
        <v>48372249</v>
      </c>
      <c r="D321">
        <v>37731581</v>
      </c>
      <c r="E321">
        <v>1</v>
      </c>
      <c r="F321">
        <v>1</v>
      </c>
      <c r="G321">
        <v>1</v>
      </c>
      <c r="H321">
        <v>3</v>
      </c>
      <c r="I321" t="s">
        <v>656</v>
      </c>
      <c r="J321" t="s">
        <v>657</v>
      </c>
      <c r="K321" t="s">
        <v>658</v>
      </c>
      <c r="L321">
        <v>1348</v>
      </c>
      <c r="N321">
        <v>1009</v>
      </c>
      <c r="O321" t="s">
        <v>536</v>
      </c>
      <c r="P321" t="s">
        <v>536</v>
      </c>
      <c r="Q321">
        <v>1000</v>
      </c>
      <c r="X321">
        <v>0.375</v>
      </c>
      <c r="Y321">
        <v>4929.5600000000004</v>
      </c>
      <c r="Z321">
        <v>0</v>
      </c>
      <c r="AA321">
        <v>0</v>
      </c>
      <c r="AB321">
        <v>0</v>
      </c>
      <c r="AC321">
        <v>0</v>
      </c>
      <c r="AD321">
        <v>1</v>
      </c>
      <c r="AE321">
        <v>0</v>
      </c>
      <c r="AF321" t="s">
        <v>3</v>
      </c>
      <c r="AG321">
        <v>0.375</v>
      </c>
      <c r="AH321">
        <v>2</v>
      </c>
      <c r="AI321">
        <v>48372257</v>
      </c>
      <c r="AJ321">
        <v>320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</row>
    <row r="322" spans="1:44">
      <c r="A322">
        <f>ROW(Source!A157)</f>
        <v>157</v>
      </c>
      <c r="B322">
        <v>48372258</v>
      </c>
      <c r="C322">
        <v>48372249</v>
      </c>
      <c r="D322">
        <v>37768198</v>
      </c>
      <c r="E322">
        <v>1</v>
      </c>
      <c r="F322">
        <v>1</v>
      </c>
      <c r="G322">
        <v>1</v>
      </c>
      <c r="H322">
        <v>3</v>
      </c>
      <c r="I322" t="s">
        <v>659</v>
      </c>
      <c r="J322" t="s">
        <v>660</v>
      </c>
      <c r="K322" t="s">
        <v>661</v>
      </c>
      <c r="L322">
        <v>1348</v>
      </c>
      <c r="N322">
        <v>1009</v>
      </c>
      <c r="O322" t="s">
        <v>536</v>
      </c>
      <c r="P322" t="s">
        <v>536</v>
      </c>
      <c r="Q322">
        <v>1000</v>
      </c>
      <c r="X322">
        <v>0.05</v>
      </c>
      <c r="Y322">
        <v>9135</v>
      </c>
      <c r="Z322">
        <v>0</v>
      </c>
      <c r="AA322">
        <v>0</v>
      </c>
      <c r="AB322">
        <v>0</v>
      </c>
      <c r="AC322">
        <v>0</v>
      </c>
      <c r="AD322">
        <v>1</v>
      </c>
      <c r="AE322">
        <v>0</v>
      </c>
      <c r="AF322" t="s">
        <v>3</v>
      </c>
      <c r="AG322">
        <v>0.05</v>
      </c>
      <c r="AH322">
        <v>2</v>
      </c>
      <c r="AI322">
        <v>48372258</v>
      </c>
      <c r="AJ322">
        <v>321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</row>
    <row r="323" spans="1:44">
      <c r="A323">
        <f>ROW(Source!A157)</f>
        <v>157</v>
      </c>
      <c r="B323">
        <v>48372259</v>
      </c>
      <c r="C323">
        <v>48372249</v>
      </c>
      <c r="D323">
        <v>37777802</v>
      </c>
      <c r="E323">
        <v>1</v>
      </c>
      <c r="F323">
        <v>1</v>
      </c>
      <c r="G323">
        <v>1</v>
      </c>
      <c r="H323">
        <v>3</v>
      </c>
      <c r="I323" t="s">
        <v>616</v>
      </c>
      <c r="J323" t="s">
        <v>617</v>
      </c>
      <c r="K323" t="s">
        <v>618</v>
      </c>
      <c r="L323">
        <v>1339</v>
      </c>
      <c r="N323">
        <v>1007</v>
      </c>
      <c r="O323" t="s">
        <v>543</v>
      </c>
      <c r="P323" t="s">
        <v>543</v>
      </c>
      <c r="Q323">
        <v>1</v>
      </c>
      <c r="X323">
        <v>0.93</v>
      </c>
      <c r="Y323">
        <v>2.4700000000000002</v>
      </c>
      <c r="Z323">
        <v>0</v>
      </c>
      <c r="AA323">
        <v>0</v>
      </c>
      <c r="AB323">
        <v>0</v>
      </c>
      <c r="AC323">
        <v>0</v>
      </c>
      <c r="AD323">
        <v>1</v>
      </c>
      <c r="AE323">
        <v>0</v>
      </c>
      <c r="AF323" t="s">
        <v>3</v>
      </c>
      <c r="AG323">
        <v>0.93</v>
      </c>
      <c r="AH323">
        <v>2</v>
      </c>
      <c r="AI323">
        <v>48372259</v>
      </c>
      <c r="AJ323">
        <v>322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</row>
    <row r="324" spans="1:44">
      <c r="A324">
        <f>ROW(Source!A160)</f>
        <v>160</v>
      </c>
      <c r="B324">
        <v>48372449</v>
      </c>
      <c r="C324">
        <v>48372448</v>
      </c>
      <c r="D324">
        <v>23134628</v>
      </c>
      <c r="E324">
        <v>1</v>
      </c>
      <c r="F324">
        <v>1</v>
      </c>
      <c r="G324">
        <v>1</v>
      </c>
      <c r="H324">
        <v>1</v>
      </c>
      <c r="I324" t="s">
        <v>897</v>
      </c>
      <c r="J324" t="s">
        <v>3</v>
      </c>
      <c r="K324" t="s">
        <v>898</v>
      </c>
      <c r="L324">
        <v>1369</v>
      </c>
      <c r="N324">
        <v>1013</v>
      </c>
      <c r="O324" t="s">
        <v>510</v>
      </c>
      <c r="P324" t="s">
        <v>510</v>
      </c>
      <c r="Q324">
        <v>1</v>
      </c>
      <c r="X324">
        <v>204.06</v>
      </c>
      <c r="Y324">
        <v>0</v>
      </c>
      <c r="Z324">
        <v>0</v>
      </c>
      <c r="AA324">
        <v>0</v>
      </c>
      <c r="AB324">
        <v>8.68</v>
      </c>
      <c r="AC324">
        <v>0</v>
      </c>
      <c r="AD324">
        <v>1</v>
      </c>
      <c r="AE324">
        <v>1</v>
      </c>
      <c r="AF324" t="s">
        <v>161</v>
      </c>
      <c r="AG324">
        <v>234.66899999999998</v>
      </c>
      <c r="AH324">
        <v>2</v>
      </c>
      <c r="AI324">
        <v>48372449</v>
      </c>
      <c r="AJ324">
        <v>323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</row>
    <row r="325" spans="1:44">
      <c r="A325">
        <f>ROW(Source!A160)</f>
        <v>160</v>
      </c>
      <c r="B325">
        <v>48372450</v>
      </c>
      <c r="C325">
        <v>48372448</v>
      </c>
      <c r="D325">
        <v>121548</v>
      </c>
      <c r="E325">
        <v>1</v>
      </c>
      <c r="F325">
        <v>1</v>
      </c>
      <c r="G325">
        <v>1</v>
      </c>
      <c r="H325">
        <v>1</v>
      </c>
      <c r="I325" t="s">
        <v>24</v>
      </c>
      <c r="J325" t="s">
        <v>3</v>
      </c>
      <c r="K325" t="s">
        <v>511</v>
      </c>
      <c r="L325">
        <v>608254</v>
      </c>
      <c r="N325">
        <v>1013</v>
      </c>
      <c r="O325" t="s">
        <v>512</v>
      </c>
      <c r="P325" t="s">
        <v>512</v>
      </c>
      <c r="Q325">
        <v>1</v>
      </c>
      <c r="X325">
        <v>2.06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1</v>
      </c>
      <c r="AE325">
        <v>2</v>
      </c>
      <c r="AF325" t="s">
        <v>160</v>
      </c>
      <c r="AG325">
        <v>2.5750000000000002</v>
      </c>
      <c r="AH325">
        <v>2</v>
      </c>
      <c r="AI325">
        <v>48372450</v>
      </c>
      <c r="AJ325">
        <v>324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</row>
    <row r="326" spans="1:44">
      <c r="A326">
        <f>ROW(Source!A160)</f>
        <v>160</v>
      </c>
      <c r="B326">
        <v>48372451</v>
      </c>
      <c r="C326">
        <v>48372448</v>
      </c>
      <c r="D326">
        <v>37802578</v>
      </c>
      <c r="E326">
        <v>1</v>
      </c>
      <c r="F326">
        <v>1</v>
      </c>
      <c r="G326">
        <v>1</v>
      </c>
      <c r="H326">
        <v>2</v>
      </c>
      <c r="I326" t="s">
        <v>550</v>
      </c>
      <c r="J326" t="s">
        <v>551</v>
      </c>
      <c r="K326" t="s">
        <v>552</v>
      </c>
      <c r="L326">
        <v>1368</v>
      </c>
      <c r="N326">
        <v>1011</v>
      </c>
      <c r="O326" t="s">
        <v>516</v>
      </c>
      <c r="P326" t="s">
        <v>516</v>
      </c>
      <c r="Q326">
        <v>1</v>
      </c>
      <c r="X326">
        <v>2.06</v>
      </c>
      <c r="Y326">
        <v>0</v>
      </c>
      <c r="Z326">
        <v>32.090000000000003</v>
      </c>
      <c r="AA326">
        <v>12.1</v>
      </c>
      <c r="AB326">
        <v>0</v>
      </c>
      <c r="AC326">
        <v>0</v>
      </c>
      <c r="AD326">
        <v>1</v>
      </c>
      <c r="AE326">
        <v>0</v>
      </c>
      <c r="AF326" t="s">
        <v>160</v>
      </c>
      <c r="AG326">
        <v>2.5750000000000002</v>
      </c>
      <c r="AH326">
        <v>2</v>
      </c>
      <c r="AI326">
        <v>48372451</v>
      </c>
      <c r="AJ326">
        <v>325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</row>
    <row r="327" spans="1:44">
      <c r="A327">
        <f>ROW(Source!A160)</f>
        <v>160</v>
      </c>
      <c r="B327">
        <v>48372452</v>
      </c>
      <c r="C327">
        <v>48372448</v>
      </c>
      <c r="D327">
        <v>37768066</v>
      </c>
      <c r="E327">
        <v>1</v>
      </c>
      <c r="F327">
        <v>1</v>
      </c>
      <c r="G327">
        <v>1</v>
      </c>
      <c r="H327">
        <v>3</v>
      </c>
      <c r="I327" t="s">
        <v>642</v>
      </c>
      <c r="J327" t="s">
        <v>643</v>
      </c>
      <c r="K327" t="s">
        <v>644</v>
      </c>
      <c r="L327">
        <v>1339</v>
      </c>
      <c r="N327">
        <v>1007</v>
      </c>
      <c r="O327" t="s">
        <v>543</v>
      </c>
      <c r="P327" t="s">
        <v>543</v>
      </c>
      <c r="Q327">
        <v>1</v>
      </c>
      <c r="X327">
        <v>0.1</v>
      </c>
      <c r="Y327">
        <v>399</v>
      </c>
      <c r="Z327">
        <v>0</v>
      </c>
      <c r="AA327">
        <v>0</v>
      </c>
      <c r="AB327">
        <v>0</v>
      </c>
      <c r="AC327">
        <v>0</v>
      </c>
      <c r="AD327">
        <v>1</v>
      </c>
      <c r="AE327">
        <v>0</v>
      </c>
      <c r="AF327" t="s">
        <v>3</v>
      </c>
      <c r="AG327">
        <v>0.1</v>
      </c>
      <c r="AH327">
        <v>2</v>
      </c>
      <c r="AI327">
        <v>48372452</v>
      </c>
      <c r="AJ327">
        <v>326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</row>
    <row r="328" spans="1:44">
      <c r="A328">
        <f>ROW(Source!A160)</f>
        <v>160</v>
      </c>
      <c r="B328">
        <v>48372453</v>
      </c>
      <c r="C328">
        <v>48372448</v>
      </c>
      <c r="D328">
        <v>37768069</v>
      </c>
      <c r="E328">
        <v>1</v>
      </c>
      <c r="F328">
        <v>1</v>
      </c>
      <c r="G328">
        <v>1</v>
      </c>
      <c r="H328">
        <v>3</v>
      </c>
      <c r="I328" t="s">
        <v>899</v>
      </c>
      <c r="J328" t="s">
        <v>900</v>
      </c>
      <c r="K328" t="s">
        <v>901</v>
      </c>
      <c r="L328">
        <v>1339</v>
      </c>
      <c r="N328">
        <v>1007</v>
      </c>
      <c r="O328" t="s">
        <v>543</v>
      </c>
      <c r="P328" t="s">
        <v>543</v>
      </c>
      <c r="Q328">
        <v>1</v>
      </c>
      <c r="X328">
        <v>4.3</v>
      </c>
      <c r="Y328">
        <v>395</v>
      </c>
      <c r="Z328">
        <v>0</v>
      </c>
      <c r="AA328">
        <v>0</v>
      </c>
      <c r="AB328">
        <v>0</v>
      </c>
      <c r="AC328">
        <v>0</v>
      </c>
      <c r="AD328">
        <v>1</v>
      </c>
      <c r="AE328">
        <v>0</v>
      </c>
      <c r="AF328" t="s">
        <v>3</v>
      </c>
      <c r="AG328">
        <v>4.3</v>
      </c>
      <c r="AH328">
        <v>2</v>
      </c>
      <c r="AI328">
        <v>48372453</v>
      </c>
      <c r="AJ328">
        <v>327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</row>
    <row r="329" spans="1:44">
      <c r="A329">
        <f>ROW(Source!A161)</f>
        <v>161</v>
      </c>
      <c r="B329">
        <v>48372612</v>
      </c>
      <c r="C329">
        <v>48372593</v>
      </c>
      <c r="D329">
        <v>23129487</v>
      </c>
      <c r="E329">
        <v>1</v>
      </c>
      <c r="F329">
        <v>1</v>
      </c>
      <c r="G329">
        <v>1</v>
      </c>
      <c r="H329">
        <v>1</v>
      </c>
      <c r="I329" t="s">
        <v>631</v>
      </c>
      <c r="J329" t="s">
        <v>3</v>
      </c>
      <c r="K329" t="s">
        <v>632</v>
      </c>
      <c r="L329">
        <v>1369</v>
      </c>
      <c r="N329">
        <v>1013</v>
      </c>
      <c r="O329" t="s">
        <v>510</v>
      </c>
      <c r="P329" t="s">
        <v>510</v>
      </c>
      <c r="Q329">
        <v>1</v>
      </c>
      <c r="X329">
        <v>71</v>
      </c>
      <c r="Y329">
        <v>0</v>
      </c>
      <c r="Z329">
        <v>0</v>
      </c>
      <c r="AA329">
        <v>0</v>
      </c>
      <c r="AB329">
        <v>8.48</v>
      </c>
      <c r="AC329">
        <v>0</v>
      </c>
      <c r="AD329">
        <v>1</v>
      </c>
      <c r="AE329">
        <v>1</v>
      </c>
      <c r="AF329" t="s">
        <v>161</v>
      </c>
      <c r="AG329">
        <v>81.649999999999991</v>
      </c>
      <c r="AH329">
        <v>2</v>
      </c>
      <c r="AI329">
        <v>48372594</v>
      </c>
      <c r="AJ329">
        <v>328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</row>
    <row r="330" spans="1:44">
      <c r="A330">
        <f>ROW(Source!A161)</f>
        <v>161</v>
      </c>
      <c r="B330">
        <v>48372613</v>
      </c>
      <c r="C330">
        <v>48372593</v>
      </c>
      <c r="D330">
        <v>37803303</v>
      </c>
      <c r="E330">
        <v>1</v>
      </c>
      <c r="F330">
        <v>1</v>
      </c>
      <c r="G330">
        <v>1</v>
      </c>
      <c r="H330">
        <v>2</v>
      </c>
      <c r="I330" t="s">
        <v>804</v>
      </c>
      <c r="J330" t="s">
        <v>805</v>
      </c>
      <c r="K330" t="s">
        <v>806</v>
      </c>
      <c r="L330">
        <v>1368</v>
      </c>
      <c r="N330">
        <v>1011</v>
      </c>
      <c r="O330" t="s">
        <v>516</v>
      </c>
      <c r="P330" t="s">
        <v>516</v>
      </c>
      <c r="Q330">
        <v>1</v>
      </c>
      <c r="X330">
        <v>1.55</v>
      </c>
      <c r="Y330">
        <v>0</v>
      </c>
      <c r="Z330">
        <v>1.98</v>
      </c>
      <c r="AA330">
        <v>0</v>
      </c>
      <c r="AB330">
        <v>0</v>
      </c>
      <c r="AC330">
        <v>0</v>
      </c>
      <c r="AD330">
        <v>1</v>
      </c>
      <c r="AE330">
        <v>0</v>
      </c>
      <c r="AF330" t="s">
        <v>160</v>
      </c>
      <c r="AG330">
        <v>1.9375</v>
      </c>
      <c r="AH330">
        <v>2</v>
      </c>
      <c r="AI330">
        <v>48372595</v>
      </c>
      <c r="AJ330">
        <v>329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</row>
    <row r="331" spans="1:44">
      <c r="A331">
        <f>ROW(Source!A161)</f>
        <v>161</v>
      </c>
      <c r="B331">
        <v>48372614</v>
      </c>
      <c r="C331">
        <v>48372593</v>
      </c>
      <c r="D331">
        <v>37804098</v>
      </c>
      <c r="E331">
        <v>1</v>
      </c>
      <c r="F331">
        <v>1</v>
      </c>
      <c r="G331">
        <v>1</v>
      </c>
      <c r="H331">
        <v>2</v>
      </c>
      <c r="I331" t="s">
        <v>825</v>
      </c>
      <c r="J331" t="s">
        <v>826</v>
      </c>
      <c r="K331" t="s">
        <v>827</v>
      </c>
      <c r="L331">
        <v>1368</v>
      </c>
      <c r="N331">
        <v>1011</v>
      </c>
      <c r="O331" t="s">
        <v>516</v>
      </c>
      <c r="P331" t="s">
        <v>516</v>
      </c>
      <c r="Q331">
        <v>1</v>
      </c>
      <c r="X331">
        <v>0.38</v>
      </c>
      <c r="Y331">
        <v>0</v>
      </c>
      <c r="Z331">
        <v>37.15</v>
      </c>
      <c r="AA331">
        <v>0</v>
      </c>
      <c r="AB331">
        <v>0</v>
      </c>
      <c r="AC331">
        <v>0</v>
      </c>
      <c r="AD331">
        <v>1</v>
      </c>
      <c r="AE331">
        <v>0</v>
      </c>
      <c r="AF331" t="s">
        <v>160</v>
      </c>
      <c r="AG331">
        <v>0.47499999999999998</v>
      </c>
      <c r="AH331">
        <v>2</v>
      </c>
      <c r="AI331">
        <v>48372596</v>
      </c>
      <c r="AJ331">
        <v>330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</row>
    <row r="332" spans="1:44">
      <c r="A332">
        <f>ROW(Source!A161)</f>
        <v>161</v>
      </c>
      <c r="B332">
        <v>48372615</v>
      </c>
      <c r="C332">
        <v>48372593</v>
      </c>
      <c r="D332">
        <v>37804136</v>
      </c>
      <c r="E332">
        <v>1</v>
      </c>
      <c r="F332">
        <v>1</v>
      </c>
      <c r="G332">
        <v>1</v>
      </c>
      <c r="H332">
        <v>2</v>
      </c>
      <c r="I332" t="s">
        <v>828</v>
      </c>
      <c r="J332" t="s">
        <v>829</v>
      </c>
      <c r="K332" t="s">
        <v>830</v>
      </c>
      <c r="L332">
        <v>1368</v>
      </c>
      <c r="N332">
        <v>1011</v>
      </c>
      <c r="O332" t="s">
        <v>516</v>
      </c>
      <c r="P332" t="s">
        <v>516</v>
      </c>
      <c r="Q332">
        <v>1</v>
      </c>
      <c r="X332">
        <v>0.51</v>
      </c>
      <c r="Y332">
        <v>0</v>
      </c>
      <c r="Z332">
        <v>2.27</v>
      </c>
      <c r="AA332">
        <v>0</v>
      </c>
      <c r="AB332">
        <v>0</v>
      </c>
      <c r="AC332">
        <v>0</v>
      </c>
      <c r="AD332">
        <v>1</v>
      </c>
      <c r="AE332">
        <v>0</v>
      </c>
      <c r="AF332" t="s">
        <v>160</v>
      </c>
      <c r="AG332">
        <v>0.63749999999999996</v>
      </c>
      <c r="AH332">
        <v>2</v>
      </c>
      <c r="AI332">
        <v>48372597</v>
      </c>
      <c r="AJ332">
        <v>331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</row>
    <row r="333" spans="1:44">
      <c r="A333">
        <f>ROW(Source!A161)</f>
        <v>161</v>
      </c>
      <c r="B333">
        <v>48372616</v>
      </c>
      <c r="C333">
        <v>48372593</v>
      </c>
      <c r="D333">
        <v>37730704</v>
      </c>
      <c r="E333">
        <v>1</v>
      </c>
      <c r="F333">
        <v>1</v>
      </c>
      <c r="G333">
        <v>1</v>
      </c>
      <c r="H333">
        <v>3</v>
      </c>
      <c r="I333" t="s">
        <v>831</v>
      </c>
      <c r="J333" t="s">
        <v>832</v>
      </c>
      <c r="K333" t="s">
        <v>833</v>
      </c>
      <c r="L333">
        <v>1354</v>
      </c>
      <c r="N333">
        <v>1010</v>
      </c>
      <c r="O333" t="s">
        <v>220</v>
      </c>
      <c r="P333" t="s">
        <v>220</v>
      </c>
      <c r="Q333">
        <v>1</v>
      </c>
      <c r="X333">
        <v>7</v>
      </c>
      <c r="Y333">
        <v>14.03</v>
      </c>
      <c r="Z333">
        <v>0</v>
      </c>
      <c r="AA333">
        <v>0</v>
      </c>
      <c r="AB333">
        <v>0</v>
      </c>
      <c r="AC333">
        <v>0</v>
      </c>
      <c r="AD333">
        <v>1</v>
      </c>
      <c r="AE333">
        <v>0</v>
      </c>
      <c r="AF333" t="s">
        <v>3</v>
      </c>
      <c r="AG333">
        <v>7</v>
      </c>
      <c r="AH333">
        <v>2</v>
      </c>
      <c r="AI333">
        <v>48372598</v>
      </c>
      <c r="AJ333">
        <v>332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</row>
    <row r="334" spans="1:44">
      <c r="A334">
        <f>ROW(Source!A161)</f>
        <v>161</v>
      </c>
      <c r="B334">
        <v>48372617</v>
      </c>
      <c r="C334">
        <v>48372593</v>
      </c>
      <c r="D334">
        <v>37731527</v>
      </c>
      <c r="E334">
        <v>1</v>
      </c>
      <c r="F334">
        <v>1</v>
      </c>
      <c r="G334">
        <v>1</v>
      </c>
      <c r="H334">
        <v>3</v>
      </c>
      <c r="I334" t="s">
        <v>834</v>
      </c>
      <c r="J334" t="s">
        <v>835</v>
      </c>
      <c r="K334" t="s">
        <v>836</v>
      </c>
      <c r="L334">
        <v>1346</v>
      </c>
      <c r="N334">
        <v>1009</v>
      </c>
      <c r="O334" t="s">
        <v>172</v>
      </c>
      <c r="P334" t="s">
        <v>172</v>
      </c>
      <c r="Q334">
        <v>1</v>
      </c>
      <c r="X334">
        <v>10</v>
      </c>
      <c r="Y334">
        <v>13.27</v>
      </c>
      <c r="Z334">
        <v>0</v>
      </c>
      <c r="AA334">
        <v>0</v>
      </c>
      <c r="AB334">
        <v>0</v>
      </c>
      <c r="AC334">
        <v>0</v>
      </c>
      <c r="AD334">
        <v>1</v>
      </c>
      <c r="AE334">
        <v>0</v>
      </c>
      <c r="AF334" t="s">
        <v>3</v>
      </c>
      <c r="AG334">
        <v>10</v>
      </c>
      <c r="AH334">
        <v>2</v>
      </c>
      <c r="AI334">
        <v>48372599</v>
      </c>
      <c r="AJ334">
        <v>333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</row>
    <row r="335" spans="1:44">
      <c r="A335">
        <f>ROW(Source!A161)</f>
        <v>161</v>
      </c>
      <c r="B335">
        <v>48372618</v>
      </c>
      <c r="C335">
        <v>48372593</v>
      </c>
      <c r="D335">
        <v>37731586</v>
      </c>
      <c r="E335">
        <v>1</v>
      </c>
      <c r="F335">
        <v>1</v>
      </c>
      <c r="G335">
        <v>1</v>
      </c>
      <c r="H335">
        <v>3</v>
      </c>
      <c r="I335" t="s">
        <v>837</v>
      </c>
      <c r="J335" t="s">
        <v>838</v>
      </c>
      <c r="K335" t="s">
        <v>839</v>
      </c>
      <c r="L335">
        <v>1346</v>
      </c>
      <c r="N335">
        <v>1009</v>
      </c>
      <c r="O335" t="s">
        <v>172</v>
      </c>
      <c r="P335" t="s">
        <v>172</v>
      </c>
      <c r="Q335">
        <v>1</v>
      </c>
      <c r="X335">
        <v>60</v>
      </c>
      <c r="Y335">
        <v>1.6</v>
      </c>
      <c r="Z335">
        <v>0</v>
      </c>
      <c r="AA335">
        <v>0</v>
      </c>
      <c r="AB335">
        <v>0</v>
      </c>
      <c r="AC335">
        <v>0</v>
      </c>
      <c r="AD335">
        <v>1</v>
      </c>
      <c r="AE335">
        <v>0</v>
      </c>
      <c r="AF335" t="s">
        <v>3</v>
      </c>
      <c r="AG335">
        <v>60</v>
      </c>
      <c r="AH335">
        <v>2</v>
      </c>
      <c r="AI335">
        <v>48372600</v>
      </c>
      <c r="AJ335">
        <v>334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</row>
    <row r="336" spans="1:44">
      <c r="A336">
        <f>ROW(Source!A161)</f>
        <v>161</v>
      </c>
      <c r="B336">
        <v>48372619</v>
      </c>
      <c r="C336">
        <v>48372593</v>
      </c>
      <c r="D336">
        <v>37731904</v>
      </c>
      <c r="E336">
        <v>1</v>
      </c>
      <c r="F336">
        <v>1</v>
      </c>
      <c r="G336">
        <v>1</v>
      </c>
      <c r="H336">
        <v>3</v>
      </c>
      <c r="I336" t="s">
        <v>840</v>
      </c>
      <c r="J336" t="s">
        <v>841</v>
      </c>
      <c r="K336" t="s">
        <v>842</v>
      </c>
      <c r="L336">
        <v>1346</v>
      </c>
      <c r="N336">
        <v>1009</v>
      </c>
      <c r="O336" t="s">
        <v>172</v>
      </c>
      <c r="P336" t="s">
        <v>172</v>
      </c>
      <c r="Q336">
        <v>1</v>
      </c>
      <c r="X336">
        <v>4</v>
      </c>
      <c r="Y336">
        <v>7.57</v>
      </c>
      <c r="Z336">
        <v>0</v>
      </c>
      <c r="AA336">
        <v>0</v>
      </c>
      <c r="AB336">
        <v>0</v>
      </c>
      <c r="AC336">
        <v>0</v>
      </c>
      <c r="AD336">
        <v>1</v>
      </c>
      <c r="AE336">
        <v>0</v>
      </c>
      <c r="AF336" t="s">
        <v>3</v>
      </c>
      <c r="AG336">
        <v>4</v>
      </c>
      <c r="AH336">
        <v>2</v>
      </c>
      <c r="AI336">
        <v>48372601</v>
      </c>
      <c r="AJ336">
        <v>335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</row>
    <row r="337" spans="1:44">
      <c r="A337">
        <f>ROW(Source!A161)</f>
        <v>161</v>
      </c>
      <c r="B337">
        <v>48372620</v>
      </c>
      <c r="C337">
        <v>48372593</v>
      </c>
      <c r="D337">
        <v>37731905</v>
      </c>
      <c r="E337">
        <v>1</v>
      </c>
      <c r="F337">
        <v>1</v>
      </c>
      <c r="G337">
        <v>1</v>
      </c>
      <c r="H337">
        <v>3</v>
      </c>
      <c r="I337" t="s">
        <v>843</v>
      </c>
      <c r="J337" t="s">
        <v>844</v>
      </c>
      <c r="K337" t="s">
        <v>845</v>
      </c>
      <c r="L337">
        <v>1346</v>
      </c>
      <c r="N337">
        <v>1009</v>
      </c>
      <c r="O337" t="s">
        <v>172</v>
      </c>
      <c r="P337" t="s">
        <v>172</v>
      </c>
      <c r="Q337">
        <v>1</v>
      </c>
      <c r="X337">
        <v>37</v>
      </c>
      <c r="Y337">
        <v>2.74</v>
      </c>
      <c r="Z337">
        <v>0</v>
      </c>
      <c r="AA337">
        <v>0</v>
      </c>
      <c r="AB337">
        <v>0</v>
      </c>
      <c r="AC337">
        <v>0</v>
      </c>
      <c r="AD337">
        <v>1</v>
      </c>
      <c r="AE337">
        <v>0</v>
      </c>
      <c r="AF337" t="s">
        <v>3</v>
      </c>
      <c r="AG337">
        <v>37</v>
      </c>
      <c r="AH337">
        <v>2</v>
      </c>
      <c r="AI337">
        <v>48372602</v>
      </c>
      <c r="AJ337">
        <v>336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</row>
    <row r="338" spans="1:44">
      <c r="A338">
        <f>ROW(Source!A161)</f>
        <v>161</v>
      </c>
      <c r="B338">
        <v>48372621</v>
      </c>
      <c r="C338">
        <v>48372593</v>
      </c>
      <c r="D338">
        <v>37732902</v>
      </c>
      <c r="E338">
        <v>1</v>
      </c>
      <c r="F338">
        <v>1</v>
      </c>
      <c r="G338">
        <v>1</v>
      </c>
      <c r="H338">
        <v>3</v>
      </c>
      <c r="I338" t="s">
        <v>846</v>
      </c>
      <c r="J338" t="s">
        <v>847</v>
      </c>
      <c r="K338" t="s">
        <v>848</v>
      </c>
      <c r="L338">
        <v>1301</v>
      </c>
      <c r="N338">
        <v>1003</v>
      </c>
      <c r="O338" t="s">
        <v>208</v>
      </c>
      <c r="P338" t="s">
        <v>208</v>
      </c>
      <c r="Q338">
        <v>1</v>
      </c>
      <c r="X338">
        <v>83</v>
      </c>
      <c r="Y338">
        <v>0.17</v>
      </c>
      <c r="Z338">
        <v>0</v>
      </c>
      <c r="AA338">
        <v>0</v>
      </c>
      <c r="AB338">
        <v>0</v>
      </c>
      <c r="AC338">
        <v>0</v>
      </c>
      <c r="AD338">
        <v>1</v>
      </c>
      <c r="AE338">
        <v>0</v>
      </c>
      <c r="AF338" t="s">
        <v>3</v>
      </c>
      <c r="AG338">
        <v>83</v>
      </c>
      <c r="AH338">
        <v>2</v>
      </c>
      <c r="AI338">
        <v>48372603</v>
      </c>
      <c r="AJ338">
        <v>337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</row>
    <row r="339" spans="1:44">
      <c r="A339">
        <f>ROW(Source!A161)</f>
        <v>161</v>
      </c>
      <c r="B339">
        <v>48372622</v>
      </c>
      <c r="C339">
        <v>48372593</v>
      </c>
      <c r="D339">
        <v>37733005</v>
      </c>
      <c r="E339">
        <v>1</v>
      </c>
      <c r="F339">
        <v>1</v>
      </c>
      <c r="G339">
        <v>1</v>
      </c>
      <c r="H339">
        <v>3</v>
      </c>
      <c r="I339" t="s">
        <v>849</v>
      </c>
      <c r="J339" t="s">
        <v>850</v>
      </c>
      <c r="K339" t="s">
        <v>851</v>
      </c>
      <c r="L339">
        <v>1301</v>
      </c>
      <c r="N339">
        <v>1003</v>
      </c>
      <c r="O339" t="s">
        <v>208</v>
      </c>
      <c r="P339" t="s">
        <v>208</v>
      </c>
      <c r="Q339">
        <v>1</v>
      </c>
      <c r="X339">
        <v>82</v>
      </c>
      <c r="Y339">
        <v>1.76</v>
      </c>
      <c r="Z339">
        <v>0</v>
      </c>
      <c r="AA339">
        <v>0</v>
      </c>
      <c r="AB339">
        <v>0</v>
      </c>
      <c r="AC339">
        <v>0</v>
      </c>
      <c r="AD339">
        <v>1</v>
      </c>
      <c r="AE339">
        <v>0</v>
      </c>
      <c r="AF339" t="s">
        <v>3</v>
      </c>
      <c r="AG339">
        <v>82</v>
      </c>
      <c r="AH339">
        <v>2</v>
      </c>
      <c r="AI339">
        <v>48372604</v>
      </c>
      <c r="AJ339">
        <v>338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</row>
    <row r="340" spans="1:44">
      <c r="A340">
        <f>ROW(Source!A161)</f>
        <v>161</v>
      </c>
      <c r="B340">
        <v>48372623</v>
      </c>
      <c r="C340">
        <v>48372593</v>
      </c>
      <c r="D340">
        <v>37733020</v>
      </c>
      <c r="E340">
        <v>1</v>
      </c>
      <c r="F340">
        <v>1</v>
      </c>
      <c r="G340">
        <v>1</v>
      </c>
      <c r="H340">
        <v>3</v>
      </c>
      <c r="I340" t="s">
        <v>852</v>
      </c>
      <c r="J340" t="s">
        <v>853</v>
      </c>
      <c r="K340" t="s">
        <v>854</v>
      </c>
      <c r="L340">
        <v>1301</v>
      </c>
      <c r="N340">
        <v>1003</v>
      </c>
      <c r="O340" t="s">
        <v>208</v>
      </c>
      <c r="P340" t="s">
        <v>208</v>
      </c>
      <c r="Q340">
        <v>1</v>
      </c>
      <c r="X340">
        <v>116</v>
      </c>
      <c r="Y340">
        <v>0.85</v>
      </c>
      <c r="Z340">
        <v>0</v>
      </c>
      <c r="AA340">
        <v>0</v>
      </c>
      <c r="AB340">
        <v>0</v>
      </c>
      <c r="AC340">
        <v>0</v>
      </c>
      <c r="AD340">
        <v>1</v>
      </c>
      <c r="AE340">
        <v>0</v>
      </c>
      <c r="AF340" t="s">
        <v>3</v>
      </c>
      <c r="AG340">
        <v>116</v>
      </c>
      <c r="AH340">
        <v>2</v>
      </c>
      <c r="AI340">
        <v>48372605</v>
      </c>
      <c r="AJ340">
        <v>339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</row>
    <row r="341" spans="1:44">
      <c r="A341">
        <f>ROW(Source!A161)</f>
        <v>161</v>
      </c>
      <c r="B341">
        <v>48372624</v>
      </c>
      <c r="C341">
        <v>48372593</v>
      </c>
      <c r="D341">
        <v>37733783</v>
      </c>
      <c r="E341">
        <v>1</v>
      </c>
      <c r="F341">
        <v>1</v>
      </c>
      <c r="G341">
        <v>1</v>
      </c>
      <c r="H341">
        <v>3</v>
      </c>
      <c r="I341" t="s">
        <v>855</v>
      </c>
      <c r="J341" t="s">
        <v>856</v>
      </c>
      <c r="K341" t="s">
        <v>857</v>
      </c>
      <c r="L341">
        <v>1327</v>
      </c>
      <c r="N341">
        <v>1005</v>
      </c>
      <c r="O341" t="s">
        <v>189</v>
      </c>
      <c r="P341" t="s">
        <v>189</v>
      </c>
      <c r="Q341">
        <v>1</v>
      </c>
      <c r="X341">
        <v>107</v>
      </c>
      <c r="Y341">
        <v>15.23</v>
      </c>
      <c r="Z341">
        <v>0</v>
      </c>
      <c r="AA341">
        <v>0</v>
      </c>
      <c r="AB341">
        <v>0</v>
      </c>
      <c r="AC341">
        <v>0</v>
      </c>
      <c r="AD341">
        <v>1</v>
      </c>
      <c r="AE341">
        <v>0</v>
      </c>
      <c r="AF341" t="s">
        <v>3</v>
      </c>
      <c r="AG341">
        <v>107</v>
      </c>
      <c r="AH341">
        <v>2</v>
      </c>
      <c r="AI341">
        <v>48372606</v>
      </c>
      <c r="AJ341">
        <v>340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</row>
    <row r="342" spans="1:44">
      <c r="A342">
        <f>ROW(Source!A161)</f>
        <v>161</v>
      </c>
      <c r="B342">
        <v>48372625</v>
      </c>
      <c r="C342">
        <v>48372593</v>
      </c>
      <c r="D342">
        <v>37737327</v>
      </c>
      <c r="E342">
        <v>1</v>
      </c>
      <c r="F342">
        <v>1</v>
      </c>
      <c r="G342">
        <v>1</v>
      </c>
      <c r="H342">
        <v>3</v>
      </c>
      <c r="I342" t="s">
        <v>858</v>
      </c>
      <c r="J342" t="s">
        <v>859</v>
      </c>
      <c r="K342" t="s">
        <v>860</v>
      </c>
      <c r="L342">
        <v>1354</v>
      </c>
      <c r="N342">
        <v>1010</v>
      </c>
      <c r="O342" t="s">
        <v>220</v>
      </c>
      <c r="P342" t="s">
        <v>220</v>
      </c>
      <c r="Q342">
        <v>1</v>
      </c>
      <c r="X342">
        <v>1855</v>
      </c>
      <c r="Y342">
        <v>0.02</v>
      </c>
      <c r="Z342">
        <v>0</v>
      </c>
      <c r="AA342">
        <v>0</v>
      </c>
      <c r="AB342">
        <v>0</v>
      </c>
      <c r="AC342">
        <v>0</v>
      </c>
      <c r="AD342">
        <v>1</v>
      </c>
      <c r="AE342">
        <v>0</v>
      </c>
      <c r="AF342" t="s">
        <v>3</v>
      </c>
      <c r="AG342">
        <v>1855</v>
      </c>
      <c r="AH342">
        <v>2</v>
      </c>
      <c r="AI342">
        <v>48372607</v>
      </c>
      <c r="AJ342">
        <v>341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</row>
    <row r="343" spans="1:44">
      <c r="A343">
        <f>ROW(Source!A161)</f>
        <v>161</v>
      </c>
      <c r="B343">
        <v>48372626</v>
      </c>
      <c r="C343">
        <v>48372593</v>
      </c>
      <c r="D343">
        <v>37737073</v>
      </c>
      <c r="E343">
        <v>1</v>
      </c>
      <c r="F343">
        <v>1</v>
      </c>
      <c r="G343">
        <v>1</v>
      </c>
      <c r="H343">
        <v>3</v>
      </c>
      <c r="I343" t="s">
        <v>861</v>
      </c>
      <c r="J343" t="s">
        <v>862</v>
      </c>
      <c r="K343" t="s">
        <v>863</v>
      </c>
      <c r="L343">
        <v>1354</v>
      </c>
      <c r="N343">
        <v>1010</v>
      </c>
      <c r="O343" t="s">
        <v>220</v>
      </c>
      <c r="P343" t="s">
        <v>220</v>
      </c>
      <c r="Q343">
        <v>1</v>
      </c>
      <c r="X343">
        <v>153</v>
      </c>
      <c r="Y343">
        <v>0.08</v>
      </c>
      <c r="Z343">
        <v>0</v>
      </c>
      <c r="AA343">
        <v>0</v>
      </c>
      <c r="AB343">
        <v>0</v>
      </c>
      <c r="AC343">
        <v>0</v>
      </c>
      <c r="AD343">
        <v>1</v>
      </c>
      <c r="AE343">
        <v>0</v>
      </c>
      <c r="AF343" t="s">
        <v>3</v>
      </c>
      <c r="AG343">
        <v>153</v>
      </c>
      <c r="AH343">
        <v>2</v>
      </c>
      <c r="AI343">
        <v>48372608</v>
      </c>
      <c r="AJ343">
        <v>342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</row>
    <row r="344" spans="1:44">
      <c r="A344">
        <f>ROW(Source!A161)</f>
        <v>161</v>
      </c>
      <c r="B344">
        <v>48372627</v>
      </c>
      <c r="C344">
        <v>48372593</v>
      </c>
      <c r="D344">
        <v>37751559</v>
      </c>
      <c r="E344">
        <v>1</v>
      </c>
      <c r="F344">
        <v>1</v>
      </c>
      <c r="G344">
        <v>1</v>
      </c>
      <c r="H344">
        <v>3</v>
      </c>
      <c r="I344" t="s">
        <v>864</v>
      </c>
      <c r="J344" t="s">
        <v>865</v>
      </c>
      <c r="K344" t="s">
        <v>866</v>
      </c>
      <c r="L344">
        <v>1301</v>
      </c>
      <c r="N344">
        <v>1003</v>
      </c>
      <c r="O344" t="s">
        <v>208</v>
      </c>
      <c r="P344" t="s">
        <v>208</v>
      </c>
      <c r="Q344">
        <v>1</v>
      </c>
      <c r="X344">
        <v>121</v>
      </c>
      <c r="Y344">
        <v>7.01</v>
      </c>
      <c r="Z344">
        <v>0</v>
      </c>
      <c r="AA344">
        <v>0</v>
      </c>
      <c r="AB344">
        <v>0</v>
      </c>
      <c r="AC344">
        <v>0</v>
      </c>
      <c r="AD344">
        <v>1</v>
      </c>
      <c r="AE344">
        <v>0</v>
      </c>
      <c r="AF344" t="s">
        <v>3</v>
      </c>
      <c r="AG344">
        <v>121</v>
      </c>
      <c r="AH344">
        <v>2</v>
      </c>
      <c r="AI344">
        <v>48372609</v>
      </c>
      <c r="AJ344">
        <v>343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</row>
    <row r="345" spans="1:44">
      <c r="A345">
        <f>ROW(Source!A161)</f>
        <v>161</v>
      </c>
      <c r="B345">
        <v>48372628</v>
      </c>
      <c r="C345">
        <v>48372593</v>
      </c>
      <c r="D345">
        <v>37751595</v>
      </c>
      <c r="E345">
        <v>1</v>
      </c>
      <c r="F345">
        <v>1</v>
      </c>
      <c r="G345">
        <v>1</v>
      </c>
      <c r="H345">
        <v>3</v>
      </c>
      <c r="I345" t="s">
        <v>867</v>
      </c>
      <c r="J345" t="s">
        <v>868</v>
      </c>
      <c r="K345" t="s">
        <v>869</v>
      </c>
      <c r="L345">
        <v>1301</v>
      </c>
      <c r="N345">
        <v>1003</v>
      </c>
      <c r="O345" t="s">
        <v>208</v>
      </c>
      <c r="P345" t="s">
        <v>208</v>
      </c>
      <c r="Q345">
        <v>1</v>
      </c>
      <c r="X345">
        <v>225</v>
      </c>
      <c r="Y345">
        <v>8.18</v>
      </c>
      <c r="Z345">
        <v>0</v>
      </c>
      <c r="AA345">
        <v>0</v>
      </c>
      <c r="AB345">
        <v>0</v>
      </c>
      <c r="AC345">
        <v>0</v>
      </c>
      <c r="AD345">
        <v>1</v>
      </c>
      <c r="AE345">
        <v>0</v>
      </c>
      <c r="AF345" t="s">
        <v>3</v>
      </c>
      <c r="AG345">
        <v>225</v>
      </c>
      <c r="AH345">
        <v>2</v>
      </c>
      <c r="AI345">
        <v>48372610</v>
      </c>
      <c r="AJ345">
        <v>344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</row>
    <row r="346" spans="1:44">
      <c r="A346">
        <f>ROW(Source!A161)</f>
        <v>161</v>
      </c>
      <c r="B346">
        <v>48372629</v>
      </c>
      <c r="C346">
        <v>48372593</v>
      </c>
      <c r="D346">
        <v>37751610</v>
      </c>
      <c r="E346">
        <v>1</v>
      </c>
      <c r="F346">
        <v>1</v>
      </c>
      <c r="G346">
        <v>1</v>
      </c>
      <c r="H346">
        <v>3</v>
      </c>
      <c r="I346" t="s">
        <v>870</v>
      </c>
      <c r="J346" t="s">
        <v>871</v>
      </c>
      <c r="K346" t="s">
        <v>872</v>
      </c>
      <c r="L346">
        <v>1301</v>
      </c>
      <c r="N346">
        <v>1003</v>
      </c>
      <c r="O346" t="s">
        <v>208</v>
      </c>
      <c r="P346" t="s">
        <v>208</v>
      </c>
      <c r="Q346">
        <v>1</v>
      </c>
      <c r="X346">
        <v>46</v>
      </c>
      <c r="Y346">
        <v>3.23</v>
      </c>
      <c r="Z346">
        <v>0</v>
      </c>
      <c r="AA346">
        <v>0</v>
      </c>
      <c r="AB346">
        <v>0</v>
      </c>
      <c r="AC346">
        <v>0</v>
      </c>
      <c r="AD346">
        <v>1</v>
      </c>
      <c r="AE346">
        <v>0</v>
      </c>
      <c r="AF346" t="s">
        <v>3</v>
      </c>
      <c r="AG346">
        <v>46</v>
      </c>
      <c r="AH346">
        <v>2</v>
      </c>
      <c r="AI346">
        <v>48372611</v>
      </c>
      <c r="AJ346">
        <v>345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</row>
    <row r="347" spans="1:44">
      <c r="A347">
        <f>ROW(Source!A162)</f>
        <v>162</v>
      </c>
      <c r="B347">
        <v>48372690</v>
      </c>
      <c r="C347">
        <v>48372667</v>
      </c>
      <c r="D347">
        <v>23136905</v>
      </c>
      <c r="E347">
        <v>1</v>
      </c>
      <c r="F347">
        <v>1</v>
      </c>
      <c r="G347">
        <v>1</v>
      </c>
      <c r="H347">
        <v>1</v>
      </c>
      <c r="I347" t="s">
        <v>648</v>
      </c>
      <c r="J347" t="s">
        <v>3</v>
      </c>
      <c r="K347" t="s">
        <v>649</v>
      </c>
      <c r="L347">
        <v>1369</v>
      </c>
      <c r="N347">
        <v>1013</v>
      </c>
      <c r="O347" t="s">
        <v>510</v>
      </c>
      <c r="P347" t="s">
        <v>510</v>
      </c>
      <c r="Q347">
        <v>1</v>
      </c>
      <c r="X347">
        <v>159.66999999999999</v>
      </c>
      <c r="Y347">
        <v>0</v>
      </c>
      <c r="Z347">
        <v>0</v>
      </c>
      <c r="AA347">
        <v>0</v>
      </c>
      <c r="AB347">
        <v>8.58</v>
      </c>
      <c r="AC347">
        <v>0</v>
      </c>
      <c r="AD347">
        <v>1</v>
      </c>
      <c r="AE347">
        <v>1</v>
      </c>
      <c r="AF347" t="s">
        <v>161</v>
      </c>
      <c r="AG347">
        <v>183.62049999999996</v>
      </c>
      <c r="AH347">
        <v>2</v>
      </c>
      <c r="AI347">
        <v>48372690</v>
      </c>
      <c r="AJ347">
        <v>346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</row>
    <row r="348" spans="1:44">
      <c r="A348">
        <f>ROW(Source!A162)</f>
        <v>162</v>
      </c>
      <c r="B348">
        <v>48372691</v>
      </c>
      <c r="C348">
        <v>48372667</v>
      </c>
      <c r="D348">
        <v>121548</v>
      </c>
      <c r="E348">
        <v>1</v>
      </c>
      <c r="F348">
        <v>1</v>
      </c>
      <c r="G348">
        <v>1</v>
      </c>
      <c r="H348">
        <v>1</v>
      </c>
      <c r="I348" t="s">
        <v>24</v>
      </c>
      <c r="J348" t="s">
        <v>3</v>
      </c>
      <c r="K348" t="s">
        <v>511</v>
      </c>
      <c r="L348">
        <v>608254</v>
      </c>
      <c r="N348">
        <v>1013</v>
      </c>
      <c r="O348" t="s">
        <v>512</v>
      </c>
      <c r="P348" t="s">
        <v>512</v>
      </c>
      <c r="Q348">
        <v>1</v>
      </c>
      <c r="X348">
        <v>1.65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2</v>
      </c>
      <c r="AF348" t="s">
        <v>160</v>
      </c>
      <c r="AG348">
        <v>2.0625</v>
      </c>
      <c r="AH348">
        <v>2</v>
      </c>
      <c r="AI348">
        <v>48372691</v>
      </c>
      <c r="AJ348">
        <v>347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</row>
    <row r="349" spans="1:44">
      <c r="A349">
        <f>ROW(Source!A162)</f>
        <v>162</v>
      </c>
      <c r="B349">
        <v>48372692</v>
      </c>
      <c r="C349">
        <v>48372667</v>
      </c>
      <c r="D349">
        <v>37802515</v>
      </c>
      <c r="E349">
        <v>1</v>
      </c>
      <c r="F349">
        <v>1</v>
      </c>
      <c r="G349">
        <v>1</v>
      </c>
      <c r="H349">
        <v>2</v>
      </c>
      <c r="I349" t="s">
        <v>650</v>
      </c>
      <c r="J349" t="s">
        <v>651</v>
      </c>
      <c r="K349" t="s">
        <v>652</v>
      </c>
      <c r="L349">
        <v>1368</v>
      </c>
      <c r="N349">
        <v>1011</v>
      </c>
      <c r="O349" t="s">
        <v>516</v>
      </c>
      <c r="P349" t="s">
        <v>516</v>
      </c>
      <c r="Q349">
        <v>1</v>
      </c>
      <c r="X349">
        <v>0.08</v>
      </c>
      <c r="Y349">
        <v>0</v>
      </c>
      <c r="Z349">
        <v>87.24</v>
      </c>
      <c r="AA349">
        <v>9</v>
      </c>
      <c r="AB349">
        <v>0</v>
      </c>
      <c r="AC349">
        <v>0</v>
      </c>
      <c r="AD349">
        <v>1</v>
      </c>
      <c r="AE349">
        <v>0</v>
      </c>
      <c r="AF349" t="s">
        <v>160</v>
      </c>
      <c r="AG349">
        <v>0.1</v>
      </c>
      <c r="AH349">
        <v>2</v>
      </c>
      <c r="AI349">
        <v>48372692</v>
      </c>
      <c r="AJ349">
        <v>348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</row>
    <row r="350" spans="1:44">
      <c r="A350">
        <f>ROW(Source!A162)</f>
        <v>162</v>
      </c>
      <c r="B350">
        <v>48372693</v>
      </c>
      <c r="C350">
        <v>48372667</v>
      </c>
      <c r="D350">
        <v>37802578</v>
      </c>
      <c r="E350">
        <v>1</v>
      </c>
      <c r="F350">
        <v>1</v>
      </c>
      <c r="G350">
        <v>1</v>
      </c>
      <c r="H350">
        <v>2</v>
      </c>
      <c r="I350" t="s">
        <v>550</v>
      </c>
      <c r="J350" t="s">
        <v>551</v>
      </c>
      <c r="K350" t="s">
        <v>552</v>
      </c>
      <c r="L350">
        <v>1368</v>
      </c>
      <c r="N350">
        <v>1011</v>
      </c>
      <c r="O350" t="s">
        <v>516</v>
      </c>
      <c r="P350" t="s">
        <v>516</v>
      </c>
      <c r="Q350">
        <v>1</v>
      </c>
      <c r="X350">
        <v>0.27</v>
      </c>
      <c r="Y350">
        <v>0</v>
      </c>
      <c r="Z350">
        <v>32.090000000000003</v>
      </c>
      <c r="AA350">
        <v>12.1</v>
      </c>
      <c r="AB350">
        <v>0</v>
      </c>
      <c r="AC350">
        <v>0</v>
      </c>
      <c r="AD350">
        <v>1</v>
      </c>
      <c r="AE350">
        <v>0</v>
      </c>
      <c r="AF350" t="s">
        <v>160</v>
      </c>
      <c r="AG350">
        <v>0.33750000000000002</v>
      </c>
      <c r="AH350">
        <v>2</v>
      </c>
      <c r="AI350">
        <v>48372693</v>
      </c>
      <c r="AJ350">
        <v>349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</row>
    <row r="351" spans="1:44">
      <c r="A351">
        <f>ROW(Source!A162)</f>
        <v>162</v>
      </c>
      <c r="B351">
        <v>48372694</v>
      </c>
      <c r="C351">
        <v>48372667</v>
      </c>
      <c r="D351">
        <v>37802992</v>
      </c>
      <c r="E351">
        <v>1</v>
      </c>
      <c r="F351">
        <v>1</v>
      </c>
      <c r="G351">
        <v>1</v>
      </c>
      <c r="H351">
        <v>2</v>
      </c>
      <c r="I351" t="s">
        <v>653</v>
      </c>
      <c r="J351" t="s">
        <v>654</v>
      </c>
      <c r="K351" t="s">
        <v>655</v>
      </c>
      <c r="L351">
        <v>1368</v>
      </c>
      <c r="N351">
        <v>1011</v>
      </c>
      <c r="O351" t="s">
        <v>516</v>
      </c>
      <c r="P351" t="s">
        <v>516</v>
      </c>
      <c r="Q351">
        <v>1</v>
      </c>
      <c r="X351">
        <v>1.3</v>
      </c>
      <c r="Y351">
        <v>0</v>
      </c>
      <c r="Z351">
        <v>11.32</v>
      </c>
      <c r="AA351">
        <v>9</v>
      </c>
      <c r="AB351">
        <v>0</v>
      </c>
      <c r="AC351">
        <v>0</v>
      </c>
      <c r="AD351">
        <v>1</v>
      </c>
      <c r="AE351">
        <v>0</v>
      </c>
      <c r="AF351" t="s">
        <v>160</v>
      </c>
      <c r="AG351">
        <v>1.625</v>
      </c>
      <c r="AH351">
        <v>2</v>
      </c>
      <c r="AI351">
        <v>48372694</v>
      </c>
      <c r="AJ351">
        <v>350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</row>
    <row r="352" spans="1:44">
      <c r="A352">
        <f>ROW(Source!A162)</f>
        <v>162</v>
      </c>
      <c r="B352">
        <v>48372695</v>
      </c>
      <c r="C352">
        <v>48372667</v>
      </c>
      <c r="D352">
        <v>37732053</v>
      </c>
      <c r="E352">
        <v>1</v>
      </c>
      <c r="F352">
        <v>1</v>
      </c>
      <c r="G352">
        <v>1</v>
      </c>
      <c r="H352">
        <v>3</v>
      </c>
      <c r="I352" t="s">
        <v>187</v>
      </c>
      <c r="J352" t="s">
        <v>190</v>
      </c>
      <c r="K352" t="s">
        <v>188</v>
      </c>
      <c r="L352">
        <v>1327</v>
      </c>
      <c r="N352">
        <v>1005</v>
      </c>
      <c r="O352" t="s">
        <v>189</v>
      </c>
      <c r="P352" t="s">
        <v>189</v>
      </c>
      <c r="Q352">
        <v>1</v>
      </c>
      <c r="X352">
        <v>100</v>
      </c>
      <c r="Y352">
        <v>68</v>
      </c>
      <c r="Z352">
        <v>0</v>
      </c>
      <c r="AA352">
        <v>0</v>
      </c>
      <c r="AB352">
        <v>0</v>
      </c>
      <c r="AC352">
        <v>0</v>
      </c>
      <c r="AD352">
        <v>1</v>
      </c>
      <c r="AE352">
        <v>0</v>
      </c>
      <c r="AF352" t="s">
        <v>3</v>
      </c>
      <c r="AG352">
        <v>100</v>
      </c>
      <c r="AH352">
        <v>2</v>
      </c>
      <c r="AI352">
        <v>48372695</v>
      </c>
      <c r="AJ352">
        <v>351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</row>
    <row r="353" spans="1:44">
      <c r="A353">
        <f>ROW(Source!A162)</f>
        <v>162</v>
      </c>
      <c r="B353">
        <v>48372696</v>
      </c>
      <c r="C353">
        <v>48372667</v>
      </c>
      <c r="D353">
        <v>37729991</v>
      </c>
      <c r="E353">
        <v>1</v>
      </c>
      <c r="F353">
        <v>1</v>
      </c>
      <c r="G353">
        <v>1</v>
      </c>
      <c r="H353">
        <v>3</v>
      </c>
      <c r="I353" t="s">
        <v>625</v>
      </c>
      <c r="J353" t="s">
        <v>626</v>
      </c>
      <c r="K353" t="s">
        <v>627</v>
      </c>
      <c r="L353">
        <v>1346</v>
      </c>
      <c r="N353">
        <v>1009</v>
      </c>
      <c r="O353" t="s">
        <v>172</v>
      </c>
      <c r="P353" t="s">
        <v>172</v>
      </c>
      <c r="Q353">
        <v>1</v>
      </c>
      <c r="X353">
        <v>0.5</v>
      </c>
      <c r="Y353">
        <v>1.82</v>
      </c>
      <c r="Z353">
        <v>0</v>
      </c>
      <c r="AA353">
        <v>0</v>
      </c>
      <c r="AB353">
        <v>0</v>
      </c>
      <c r="AC353">
        <v>0</v>
      </c>
      <c r="AD353">
        <v>1</v>
      </c>
      <c r="AE353">
        <v>0</v>
      </c>
      <c r="AF353" t="s">
        <v>3</v>
      </c>
      <c r="AG353">
        <v>0.5</v>
      </c>
      <c r="AH353">
        <v>2</v>
      </c>
      <c r="AI353">
        <v>48372696</v>
      </c>
      <c r="AJ353">
        <v>352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</row>
    <row r="354" spans="1:44">
      <c r="A354">
        <f>ROW(Source!A162)</f>
        <v>162</v>
      </c>
      <c r="B354">
        <v>48372697</v>
      </c>
      <c r="C354">
        <v>48372667</v>
      </c>
      <c r="D354">
        <v>37731581</v>
      </c>
      <c r="E354">
        <v>1</v>
      </c>
      <c r="F354">
        <v>1</v>
      </c>
      <c r="G354">
        <v>1</v>
      </c>
      <c r="H354">
        <v>3</v>
      </c>
      <c r="I354" t="s">
        <v>656</v>
      </c>
      <c r="J354" t="s">
        <v>657</v>
      </c>
      <c r="K354" t="s">
        <v>658</v>
      </c>
      <c r="L354">
        <v>1348</v>
      </c>
      <c r="N354">
        <v>1009</v>
      </c>
      <c r="O354" t="s">
        <v>536</v>
      </c>
      <c r="P354" t="s">
        <v>536</v>
      </c>
      <c r="Q354">
        <v>1000</v>
      </c>
      <c r="X354">
        <v>0.375</v>
      </c>
      <c r="Y354">
        <v>4929.5600000000004</v>
      </c>
      <c r="Z354">
        <v>0</v>
      </c>
      <c r="AA354">
        <v>0</v>
      </c>
      <c r="AB354">
        <v>0</v>
      </c>
      <c r="AC354">
        <v>0</v>
      </c>
      <c r="AD354">
        <v>1</v>
      </c>
      <c r="AE354">
        <v>0</v>
      </c>
      <c r="AF354" t="s">
        <v>3</v>
      </c>
      <c r="AG354">
        <v>0.375</v>
      </c>
      <c r="AH354">
        <v>2</v>
      </c>
      <c r="AI354">
        <v>48372697</v>
      </c>
      <c r="AJ354">
        <v>353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</row>
    <row r="355" spans="1:44">
      <c r="A355">
        <f>ROW(Source!A162)</f>
        <v>162</v>
      </c>
      <c r="B355">
        <v>48372698</v>
      </c>
      <c r="C355">
        <v>48372667</v>
      </c>
      <c r="D355">
        <v>37768198</v>
      </c>
      <c r="E355">
        <v>1</v>
      </c>
      <c r="F355">
        <v>1</v>
      </c>
      <c r="G355">
        <v>1</v>
      </c>
      <c r="H355">
        <v>3</v>
      </c>
      <c r="I355" t="s">
        <v>659</v>
      </c>
      <c r="J355" t="s">
        <v>660</v>
      </c>
      <c r="K355" t="s">
        <v>661</v>
      </c>
      <c r="L355">
        <v>1348</v>
      </c>
      <c r="N355">
        <v>1009</v>
      </c>
      <c r="O355" t="s">
        <v>536</v>
      </c>
      <c r="P355" t="s">
        <v>536</v>
      </c>
      <c r="Q355">
        <v>1000</v>
      </c>
      <c r="X355">
        <v>0.05</v>
      </c>
      <c r="Y355">
        <v>9135</v>
      </c>
      <c r="Z355">
        <v>0</v>
      </c>
      <c r="AA355">
        <v>0</v>
      </c>
      <c r="AB355">
        <v>0</v>
      </c>
      <c r="AC355">
        <v>0</v>
      </c>
      <c r="AD355">
        <v>1</v>
      </c>
      <c r="AE355">
        <v>0</v>
      </c>
      <c r="AF355" t="s">
        <v>3</v>
      </c>
      <c r="AG355">
        <v>0.05</v>
      </c>
      <c r="AH355">
        <v>2</v>
      </c>
      <c r="AI355">
        <v>48372698</v>
      </c>
      <c r="AJ355">
        <v>354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</row>
    <row r="356" spans="1:44">
      <c r="A356">
        <f>ROW(Source!A162)</f>
        <v>162</v>
      </c>
      <c r="B356">
        <v>48372699</v>
      </c>
      <c r="C356">
        <v>48372667</v>
      </c>
      <c r="D356">
        <v>37777802</v>
      </c>
      <c r="E356">
        <v>1</v>
      </c>
      <c r="F356">
        <v>1</v>
      </c>
      <c r="G356">
        <v>1</v>
      </c>
      <c r="H356">
        <v>3</v>
      </c>
      <c r="I356" t="s">
        <v>616</v>
      </c>
      <c r="J356" t="s">
        <v>617</v>
      </c>
      <c r="K356" t="s">
        <v>618</v>
      </c>
      <c r="L356">
        <v>1339</v>
      </c>
      <c r="N356">
        <v>1007</v>
      </c>
      <c r="O356" t="s">
        <v>543</v>
      </c>
      <c r="P356" t="s">
        <v>543</v>
      </c>
      <c r="Q356">
        <v>1</v>
      </c>
      <c r="X356">
        <v>0.93</v>
      </c>
      <c r="Y356">
        <v>2.4700000000000002</v>
      </c>
      <c r="Z356">
        <v>0</v>
      </c>
      <c r="AA356">
        <v>0</v>
      </c>
      <c r="AB356">
        <v>0</v>
      </c>
      <c r="AC356">
        <v>0</v>
      </c>
      <c r="AD356">
        <v>1</v>
      </c>
      <c r="AE356">
        <v>0</v>
      </c>
      <c r="AF356" t="s">
        <v>3</v>
      </c>
      <c r="AG356">
        <v>0.93</v>
      </c>
      <c r="AH356">
        <v>2</v>
      </c>
      <c r="AI356">
        <v>48372699</v>
      </c>
      <c r="AJ356">
        <v>355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</row>
    <row r="357" spans="1:44">
      <c r="A357">
        <f>ROW(Source!A165)</f>
        <v>165</v>
      </c>
      <c r="B357">
        <v>48372712</v>
      </c>
      <c r="C357">
        <v>48372711</v>
      </c>
      <c r="D357">
        <v>23129805</v>
      </c>
      <c r="E357">
        <v>1</v>
      </c>
      <c r="F357">
        <v>1</v>
      </c>
      <c r="G357">
        <v>1</v>
      </c>
      <c r="H357">
        <v>1</v>
      </c>
      <c r="I357" t="s">
        <v>553</v>
      </c>
      <c r="J357" t="s">
        <v>3</v>
      </c>
      <c r="K357" t="s">
        <v>554</v>
      </c>
      <c r="L357">
        <v>1369</v>
      </c>
      <c r="N357">
        <v>1013</v>
      </c>
      <c r="O357" t="s">
        <v>510</v>
      </c>
      <c r="P357" t="s">
        <v>510</v>
      </c>
      <c r="Q357">
        <v>1</v>
      </c>
      <c r="X357">
        <v>46.19</v>
      </c>
      <c r="Y357">
        <v>0</v>
      </c>
      <c r="Z357">
        <v>0</v>
      </c>
      <c r="AA357">
        <v>0</v>
      </c>
      <c r="AB357">
        <v>7.97</v>
      </c>
      <c r="AC357">
        <v>0</v>
      </c>
      <c r="AD357">
        <v>1</v>
      </c>
      <c r="AE357">
        <v>1</v>
      </c>
      <c r="AF357" t="s">
        <v>3</v>
      </c>
      <c r="AG357">
        <v>46.19</v>
      </c>
      <c r="AH357">
        <v>2</v>
      </c>
      <c r="AI357">
        <v>48372712</v>
      </c>
      <c r="AJ357">
        <v>356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</row>
    <row r="358" spans="1:44">
      <c r="A358">
        <f>ROW(Source!A165)</f>
        <v>165</v>
      </c>
      <c r="B358">
        <v>48372713</v>
      </c>
      <c r="C358">
        <v>48372711</v>
      </c>
      <c r="D358">
        <v>121548</v>
      </c>
      <c r="E358">
        <v>1</v>
      </c>
      <c r="F358">
        <v>1</v>
      </c>
      <c r="G358">
        <v>1</v>
      </c>
      <c r="H358">
        <v>1</v>
      </c>
      <c r="I358" t="s">
        <v>24</v>
      </c>
      <c r="J358" t="s">
        <v>3</v>
      </c>
      <c r="K358" t="s">
        <v>511</v>
      </c>
      <c r="L358">
        <v>608254</v>
      </c>
      <c r="N358">
        <v>1013</v>
      </c>
      <c r="O358" t="s">
        <v>512</v>
      </c>
      <c r="P358" t="s">
        <v>512</v>
      </c>
      <c r="Q358">
        <v>1</v>
      </c>
      <c r="X358">
        <v>0.01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1</v>
      </c>
      <c r="AE358">
        <v>2</v>
      </c>
      <c r="AF358" t="s">
        <v>3</v>
      </c>
      <c r="AG358">
        <v>0.01</v>
      </c>
      <c r="AH358">
        <v>2</v>
      </c>
      <c r="AI358">
        <v>48372713</v>
      </c>
      <c r="AJ358">
        <v>357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</row>
    <row r="359" spans="1:44">
      <c r="A359">
        <f>ROW(Source!A165)</f>
        <v>165</v>
      </c>
      <c r="B359">
        <v>48372714</v>
      </c>
      <c r="C359">
        <v>48372711</v>
      </c>
      <c r="D359">
        <v>37802578</v>
      </c>
      <c r="E359">
        <v>1</v>
      </c>
      <c r="F359">
        <v>1</v>
      </c>
      <c r="G359">
        <v>1</v>
      </c>
      <c r="H359">
        <v>2</v>
      </c>
      <c r="I359" t="s">
        <v>550</v>
      </c>
      <c r="J359" t="s">
        <v>551</v>
      </c>
      <c r="K359" t="s">
        <v>552</v>
      </c>
      <c r="L359">
        <v>1368</v>
      </c>
      <c r="N359">
        <v>1011</v>
      </c>
      <c r="O359" t="s">
        <v>516</v>
      </c>
      <c r="P359" t="s">
        <v>516</v>
      </c>
      <c r="Q359">
        <v>1</v>
      </c>
      <c r="X359">
        <v>0.01</v>
      </c>
      <c r="Y359">
        <v>0</v>
      </c>
      <c r="Z359">
        <v>32.090000000000003</v>
      </c>
      <c r="AA359">
        <v>12.1</v>
      </c>
      <c r="AB359">
        <v>0</v>
      </c>
      <c r="AC359">
        <v>0</v>
      </c>
      <c r="AD359">
        <v>1</v>
      </c>
      <c r="AE359">
        <v>0</v>
      </c>
      <c r="AF359" t="s">
        <v>3</v>
      </c>
      <c r="AG359">
        <v>0.01</v>
      </c>
      <c r="AH359">
        <v>2</v>
      </c>
      <c r="AI359">
        <v>48372714</v>
      </c>
      <c r="AJ359">
        <v>358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</row>
    <row r="360" spans="1:44">
      <c r="A360">
        <f>ROW(Source!A165)</f>
        <v>165</v>
      </c>
      <c r="B360">
        <v>48372715</v>
      </c>
      <c r="C360">
        <v>48372711</v>
      </c>
      <c r="D360">
        <v>37758213</v>
      </c>
      <c r="E360">
        <v>1</v>
      </c>
      <c r="F360">
        <v>1</v>
      </c>
      <c r="G360">
        <v>1</v>
      </c>
      <c r="H360">
        <v>3</v>
      </c>
      <c r="I360" t="s">
        <v>902</v>
      </c>
      <c r="J360" t="s">
        <v>903</v>
      </c>
      <c r="K360" t="s">
        <v>904</v>
      </c>
      <c r="L360">
        <v>1354</v>
      </c>
      <c r="N360">
        <v>1010</v>
      </c>
      <c r="O360" t="s">
        <v>220</v>
      </c>
      <c r="P360" t="s">
        <v>220</v>
      </c>
      <c r="Q360">
        <v>1</v>
      </c>
      <c r="X360">
        <v>100</v>
      </c>
      <c r="Y360">
        <v>28.25</v>
      </c>
      <c r="Z360">
        <v>0</v>
      </c>
      <c r="AA360">
        <v>0</v>
      </c>
      <c r="AB360">
        <v>0</v>
      </c>
      <c r="AC360">
        <v>0</v>
      </c>
      <c r="AD360">
        <v>1</v>
      </c>
      <c r="AE360">
        <v>0</v>
      </c>
      <c r="AF360" t="s">
        <v>3</v>
      </c>
      <c r="AG360">
        <v>100</v>
      </c>
      <c r="AH360">
        <v>2</v>
      </c>
      <c r="AI360">
        <v>48372715</v>
      </c>
      <c r="AJ360">
        <v>359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</row>
    <row r="361" spans="1:44">
      <c r="A361">
        <f>ROW(Source!A165)</f>
        <v>165</v>
      </c>
      <c r="B361">
        <v>48372716</v>
      </c>
      <c r="C361">
        <v>48372711</v>
      </c>
      <c r="D361">
        <v>37777026</v>
      </c>
      <c r="E361">
        <v>1</v>
      </c>
      <c r="F361">
        <v>1</v>
      </c>
      <c r="G361">
        <v>1</v>
      </c>
      <c r="H361">
        <v>3</v>
      </c>
      <c r="I361" t="s">
        <v>645</v>
      </c>
      <c r="J361" t="s">
        <v>646</v>
      </c>
      <c r="K361" t="s">
        <v>647</v>
      </c>
      <c r="L361">
        <v>1348</v>
      </c>
      <c r="N361">
        <v>1009</v>
      </c>
      <c r="O361" t="s">
        <v>536</v>
      </c>
      <c r="P361" t="s">
        <v>536</v>
      </c>
      <c r="Q361">
        <v>1000</v>
      </c>
      <c r="X361">
        <v>0.05</v>
      </c>
      <c r="Y361">
        <v>729.98</v>
      </c>
      <c r="Z361">
        <v>0</v>
      </c>
      <c r="AA361">
        <v>0</v>
      </c>
      <c r="AB361">
        <v>0</v>
      </c>
      <c r="AC361">
        <v>0</v>
      </c>
      <c r="AD361">
        <v>1</v>
      </c>
      <c r="AE361">
        <v>0</v>
      </c>
      <c r="AF361" t="s">
        <v>3</v>
      </c>
      <c r="AG361">
        <v>0.05</v>
      </c>
      <c r="AH361">
        <v>2</v>
      </c>
      <c r="AI361">
        <v>48372716</v>
      </c>
      <c r="AJ361">
        <v>360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</row>
    <row r="362" spans="1:44">
      <c r="A362">
        <f>ROW(Source!A165)</f>
        <v>165</v>
      </c>
      <c r="B362">
        <v>48372717</v>
      </c>
      <c r="C362">
        <v>48372711</v>
      </c>
      <c r="D362">
        <v>37777802</v>
      </c>
      <c r="E362">
        <v>1</v>
      </c>
      <c r="F362">
        <v>1</v>
      </c>
      <c r="G362">
        <v>1</v>
      </c>
      <c r="H362">
        <v>3</v>
      </c>
      <c r="I362" t="s">
        <v>616</v>
      </c>
      <c r="J362" t="s">
        <v>617</v>
      </c>
      <c r="K362" t="s">
        <v>618</v>
      </c>
      <c r="L362">
        <v>1339</v>
      </c>
      <c r="N362">
        <v>1007</v>
      </c>
      <c r="O362" t="s">
        <v>543</v>
      </c>
      <c r="P362" t="s">
        <v>543</v>
      </c>
      <c r="Q362">
        <v>1</v>
      </c>
      <c r="X362">
        <v>0.02</v>
      </c>
      <c r="Y362">
        <v>2.4700000000000002</v>
      </c>
      <c r="Z362">
        <v>0</v>
      </c>
      <c r="AA362">
        <v>0</v>
      </c>
      <c r="AB362">
        <v>0</v>
      </c>
      <c r="AC362">
        <v>0</v>
      </c>
      <c r="AD362">
        <v>1</v>
      </c>
      <c r="AE362">
        <v>0</v>
      </c>
      <c r="AF362" t="s">
        <v>3</v>
      </c>
      <c r="AG362">
        <v>0.02</v>
      </c>
      <c r="AH362">
        <v>2</v>
      </c>
      <c r="AI362">
        <v>48372717</v>
      </c>
      <c r="AJ362">
        <v>361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</row>
    <row r="363" spans="1:44">
      <c r="A363">
        <f>ROW(Source!A165)</f>
        <v>165</v>
      </c>
      <c r="B363">
        <v>48372718</v>
      </c>
      <c r="C363">
        <v>48372711</v>
      </c>
      <c r="D363">
        <v>37792787</v>
      </c>
      <c r="E363">
        <v>1</v>
      </c>
      <c r="F363">
        <v>1</v>
      </c>
      <c r="G363">
        <v>1</v>
      </c>
      <c r="H363">
        <v>3</v>
      </c>
      <c r="I363" t="s">
        <v>555</v>
      </c>
      <c r="J363" t="s">
        <v>556</v>
      </c>
      <c r="K363" t="s">
        <v>557</v>
      </c>
      <c r="L363">
        <v>1348</v>
      </c>
      <c r="N363">
        <v>1009</v>
      </c>
      <c r="O363" t="s">
        <v>536</v>
      </c>
      <c r="P363" t="s">
        <v>536</v>
      </c>
      <c r="Q363">
        <v>1000</v>
      </c>
      <c r="X363">
        <v>7.0000000000000007E-2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 t="s">
        <v>3</v>
      </c>
      <c r="AG363">
        <v>7.0000000000000007E-2</v>
      </c>
      <c r="AH363">
        <v>2</v>
      </c>
      <c r="AI363">
        <v>48372718</v>
      </c>
      <c r="AJ363">
        <v>362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</row>
    <row r="364" spans="1:44">
      <c r="A364">
        <f>ROW(Source!A166)</f>
        <v>166</v>
      </c>
      <c r="B364">
        <v>48372745</v>
      </c>
      <c r="C364">
        <v>48372744</v>
      </c>
      <c r="D364">
        <v>23129487</v>
      </c>
      <c r="E364">
        <v>1</v>
      </c>
      <c r="F364">
        <v>1</v>
      </c>
      <c r="G364">
        <v>1</v>
      </c>
      <c r="H364">
        <v>1</v>
      </c>
      <c r="I364" t="s">
        <v>631</v>
      </c>
      <c r="J364" t="s">
        <v>3</v>
      </c>
      <c r="K364" t="s">
        <v>632</v>
      </c>
      <c r="L364">
        <v>1369</v>
      </c>
      <c r="N364">
        <v>1013</v>
      </c>
      <c r="O364" t="s">
        <v>510</v>
      </c>
      <c r="P364" t="s">
        <v>510</v>
      </c>
      <c r="Q364">
        <v>1</v>
      </c>
      <c r="X364">
        <v>92.73</v>
      </c>
      <c r="Y364">
        <v>0</v>
      </c>
      <c r="Z364">
        <v>0</v>
      </c>
      <c r="AA364">
        <v>0</v>
      </c>
      <c r="AB364">
        <v>8.48</v>
      </c>
      <c r="AC364">
        <v>0</v>
      </c>
      <c r="AD364">
        <v>1</v>
      </c>
      <c r="AE364">
        <v>1</v>
      </c>
      <c r="AF364" t="s">
        <v>161</v>
      </c>
      <c r="AG364">
        <v>106.6395</v>
      </c>
      <c r="AH364">
        <v>2</v>
      </c>
      <c r="AI364">
        <v>48372745</v>
      </c>
      <c r="AJ364">
        <v>363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</row>
    <row r="365" spans="1:44">
      <c r="A365">
        <f>ROW(Source!A166)</f>
        <v>166</v>
      </c>
      <c r="B365">
        <v>48372746</v>
      </c>
      <c r="C365">
        <v>48372744</v>
      </c>
      <c r="D365">
        <v>121548</v>
      </c>
      <c r="E365">
        <v>1</v>
      </c>
      <c r="F365">
        <v>1</v>
      </c>
      <c r="G365">
        <v>1</v>
      </c>
      <c r="H365">
        <v>1</v>
      </c>
      <c r="I365" t="s">
        <v>24</v>
      </c>
      <c r="J365" t="s">
        <v>3</v>
      </c>
      <c r="K365" t="s">
        <v>511</v>
      </c>
      <c r="L365">
        <v>608254</v>
      </c>
      <c r="N365">
        <v>1013</v>
      </c>
      <c r="O365" t="s">
        <v>512</v>
      </c>
      <c r="P365" t="s">
        <v>512</v>
      </c>
      <c r="Q365">
        <v>1</v>
      </c>
      <c r="X365">
        <v>0.01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1</v>
      </c>
      <c r="AE365">
        <v>2</v>
      </c>
      <c r="AF365" t="s">
        <v>160</v>
      </c>
      <c r="AG365">
        <v>1.2500000000000001E-2</v>
      </c>
      <c r="AH365">
        <v>2</v>
      </c>
      <c r="AI365">
        <v>48372746</v>
      </c>
      <c r="AJ365">
        <v>364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</row>
    <row r="366" spans="1:44">
      <c r="A366">
        <f>ROW(Source!A166)</f>
        <v>166</v>
      </c>
      <c r="B366">
        <v>48372747</v>
      </c>
      <c r="C366">
        <v>48372744</v>
      </c>
      <c r="D366">
        <v>37802578</v>
      </c>
      <c r="E366">
        <v>1</v>
      </c>
      <c r="F366">
        <v>1</v>
      </c>
      <c r="G366">
        <v>1</v>
      </c>
      <c r="H366">
        <v>2</v>
      </c>
      <c r="I366" t="s">
        <v>550</v>
      </c>
      <c r="J366" t="s">
        <v>551</v>
      </c>
      <c r="K366" t="s">
        <v>552</v>
      </c>
      <c r="L366">
        <v>1368</v>
      </c>
      <c r="N366">
        <v>1011</v>
      </c>
      <c r="O366" t="s">
        <v>516</v>
      </c>
      <c r="P366" t="s">
        <v>516</v>
      </c>
      <c r="Q366">
        <v>1</v>
      </c>
      <c r="X366">
        <v>0.01</v>
      </c>
      <c r="Y366">
        <v>0</v>
      </c>
      <c r="Z366">
        <v>32.090000000000003</v>
      </c>
      <c r="AA366">
        <v>12.1</v>
      </c>
      <c r="AB366">
        <v>0</v>
      </c>
      <c r="AC366">
        <v>0</v>
      </c>
      <c r="AD366">
        <v>1</v>
      </c>
      <c r="AE366">
        <v>0</v>
      </c>
      <c r="AF366" t="s">
        <v>160</v>
      </c>
      <c r="AG366">
        <v>1.2500000000000001E-2</v>
      </c>
      <c r="AH366">
        <v>2</v>
      </c>
      <c r="AI366">
        <v>48372747</v>
      </c>
      <c r="AJ366">
        <v>365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</row>
    <row r="367" spans="1:44">
      <c r="A367">
        <f>ROW(Source!A166)</f>
        <v>166</v>
      </c>
      <c r="B367">
        <v>48372748</v>
      </c>
      <c r="C367">
        <v>48372744</v>
      </c>
      <c r="D367">
        <v>37804456</v>
      </c>
      <c r="E367">
        <v>1</v>
      </c>
      <c r="F367">
        <v>1</v>
      </c>
      <c r="G367">
        <v>1</v>
      </c>
      <c r="H367">
        <v>2</v>
      </c>
      <c r="I367" t="s">
        <v>530</v>
      </c>
      <c r="J367" t="s">
        <v>531</v>
      </c>
      <c r="K367" t="s">
        <v>532</v>
      </c>
      <c r="L367">
        <v>1368</v>
      </c>
      <c r="N367">
        <v>1011</v>
      </c>
      <c r="O367" t="s">
        <v>516</v>
      </c>
      <c r="P367" t="s">
        <v>516</v>
      </c>
      <c r="Q367">
        <v>1</v>
      </c>
      <c r="X367">
        <v>0.09</v>
      </c>
      <c r="Y367">
        <v>0</v>
      </c>
      <c r="Z367">
        <v>91.76</v>
      </c>
      <c r="AA367">
        <v>10.35</v>
      </c>
      <c r="AB367">
        <v>0</v>
      </c>
      <c r="AC367">
        <v>0</v>
      </c>
      <c r="AD367">
        <v>1</v>
      </c>
      <c r="AE367">
        <v>0</v>
      </c>
      <c r="AF367" t="s">
        <v>160</v>
      </c>
      <c r="AG367">
        <v>0.11249999999999999</v>
      </c>
      <c r="AH367">
        <v>2</v>
      </c>
      <c r="AI367">
        <v>48372748</v>
      </c>
      <c r="AJ367">
        <v>366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</row>
    <row r="368" spans="1:44">
      <c r="A368">
        <f>ROW(Source!A166)</f>
        <v>166</v>
      </c>
      <c r="B368">
        <v>48372749</v>
      </c>
      <c r="C368">
        <v>48372744</v>
      </c>
      <c r="D368">
        <v>37732521</v>
      </c>
      <c r="E368">
        <v>1</v>
      </c>
      <c r="F368">
        <v>1</v>
      </c>
      <c r="G368">
        <v>1</v>
      </c>
      <c r="H368">
        <v>3</v>
      </c>
      <c r="I368" t="s">
        <v>905</v>
      </c>
      <c r="J368" t="s">
        <v>906</v>
      </c>
      <c r="K368" t="s">
        <v>907</v>
      </c>
      <c r="L368">
        <v>1348</v>
      </c>
      <c r="N368">
        <v>1009</v>
      </c>
      <c r="O368" t="s">
        <v>536</v>
      </c>
      <c r="P368" t="s">
        <v>536</v>
      </c>
      <c r="Q368">
        <v>1000</v>
      </c>
      <c r="X368">
        <v>2.4740000000000002E-2</v>
      </c>
      <c r="Y368">
        <v>18243</v>
      </c>
      <c r="Z368">
        <v>0</v>
      </c>
      <c r="AA368">
        <v>0</v>
      </c>
      <c r="AB368">
        <v>0</v>
      </c>
      <c r="AC368">
        <v>0</v>
      </c>
      <c r="AD368">
        <v>1</v>
      </c>
      <c r="AE368">
        <v>0</v>
      </c>
      <c r="AF368" t="s">
        <v>3</v>
      </c>
      <c r="AG368">
        <v>2.4740000000000002E-2</v>
      </c>
      <c r="AH368">
        <v>2</v>
      </c>
      <c r="AI368">
        <v>48372749</v>
      </c>
      <c r="AJ368">
        <v>367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</row>
    <row r="369" spans="1:44">
      <c r="A369">
        <f>ROW(Source!A166)</f>
        <v>166</v>
      </c>
      <c r="B369">
        <v>48372750</v>
      </c>
      <c r="C369">
        <v>48372744</v>
      </c>
      <c r="D369">
        <v>37729978</v>
      </c>
      <c r="E369">
        <v>1</v>
      </c>
      <c r="F369">
        <v>1</v>
      </c>
      <c r="G369">
        <v>1</v>
      </c>
      <c r="H369">
        <v>3</v>
      </c>
      <c r="I369" t="s">
        <v>880</v>
      </c>
      <c r="J369" t="s">
        <v>881</v>
      </c>
      <c r="K369" t="s">
        <v>882</v>
      </c>
      <c r="L369">
        <v>1327</v>
      </c>
      <c r="N369">
        <v>1005</v>
      </c>
      <c r="O369" t="s">
        <v>189</v>
      </c>
      <c r="P369" t="s">
        <v>189</v>
      </c>
      <c r="Q369">
        <v>1</v>
      </c>
      <c r="X369">
        <v>0.84</v>
      </c>
      <c r="Y369">
        <v>72.319999999999993</v>
      </c>
      <c r="Z369">
        <v>0</v>
      </c>
      <c r="AA369">
        <v>0</v>
      </c>
      <c r="AB369">
        <v>0</v>
      </c>
      <c r="AC369">
        <v>0</v>
      </c>
      <c r="AD369">
        <v>1</v>
      </c>
      <c r="AE369">
        <v>0</v>
      </c>
      <c r="AF369" t="s">
        <v>3</v>
      </c>
      <c r="AG369">
        <v>0.84</v>
      </c>
      <c r="AH369">
        <v>2</v>
      </c>
      <c r="AI369">
        <v>48372750</v>
      </c>
      <c r="AJ369">
        <v>368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</row>
    <row r="370" spans="1:44">
      <c r="A370">
        <f>ROW(Source!A166)</f>
        <v>166</v>
      </c>
      <c r="B370">
        <v>48372751</v>
      </c>
      <c r="C370">
        <v>48372744</v>
      </c>
      <c r="D370">
        <v>37731916</v>
      </c>
      <c r="E370">
        <v>1</v>
      </c>
      <c r="F370">
        <v>1</v>
      </c>
      <c r="G370">
        <v>1</v>
      </c>
      <c r="H370">
        <v>3</v>
      </c>
      <c r="I370" t="s">
        <v>908</v>
      </c>
      <c r="J370" t="s">
        <v>909</v>
      </c>
      <c r="K370" t="s">
        <v>910</v>
      </c>
      <c r="L370">
        <v>1348</v>
      </c>
      <c r="N370">
        <v>1009</v>
      </c>
      <c r="O370" t="s">
        <v>536</v>
      </c>
      <c r="P370" t="s">
        <v>536</v>
      </c>
      <c r="Q370">
        <v>1000</v>
      </c>
      <c r="X370">
        <v>4.1000000000000002E-2</v>
      </c>
      <c r="Y370">
        <v>2899</v>
      </c>
      <c r="Z370">
        <v>0</v>
      </c>
      <c r="AA370">
        <v>0</v>
      </c>
      <c r="AB370">
        <v>0</v>
      </c>
      <c r="AC370">
        <v>0</v>
      </c>
      <c r="AD370">
        <v>1</v>
      </c>
      <c r="AE370">
        <v>0</v>
      </c>
      <c r="AF370" t="s">
        <v>3</v>
      </c>
      <c r="AG370">
        <v>4.1000000000000002E-2</v>
      </c>
      <c r="AH370">
        <v>2</v>
      </c>
      <c r="AI370">
        <v>48372751</v>
      </c>
      <c r="AJ370">
        <v>369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</row>
    <row r="371" spans="1:44">
      <c r="A371">
        <f>ROW(Source!A166)</f>
        <v>166</v>
      </c>
      <c r="B371">
        <v>48372752</v>
      </c>
      <c r="C371">
        <v>48372744</v>
      </c>
      <c r="D371">
        <v>37729991</v>
      </c>
      <c r="E371">
        <v>1</v>
      </c>
      <c r="F371">
        <v>1</v>
      </c>
      <c r="G371">
        <v>1</v>
      </c>
      <c r="H371">
        <v>3</v>
      </c>
      <c r="I371" t="s">
        <v>625</v>
      </c>
      <c r="J371" t="s">
        <v>626</v>
      </c>
      <c r="K371" t="s">
        <v>627</v>
      </c>
      <c r="L371">
        <v>1346</v>
      </c>
      <c r="N371">
        <v>1009</v>
      </c>
      <c r="O371" t="s">
        <v>172</v>
      </c>
      <c r="P371" t="s">
        <v>172</v>
      </c>
      <c r="Q371">
        <v>1</v>
      </c>
      <c r="X371">
        <v>0.31</v>
      </c>
      <c r="Y371">
        <v>1.82</v>
      </c>
      <c r="Z371">
        <v>0</v>
      </c>
      <c r="AA371">
        <v>0</v>
      </c>
      <c r="AB371">
        <v>0</v>
      </c>
      <c r="AC371">
        <v>0</v>
      </c>
      <c r="AD371">
        <v>1</v>
      </c>
      <c r="AE371">
        <v>0</v>
      </c>
      <c r="AF371" t="s">
        <v>3</v>
      </c>
      <c r="AG371">
        <v>0.31</v>
      </c>
      <c r="AH371">
        <v>2</v>
      </c>
      <c r="AI371">
        <v>48372752</v>
      </c>
      <c r="AJ371">
        <v>370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</row>
    <row r="372" spans="1:44">
      <c r="A372">
        <f>ROW(Source!A166)</f>
        <v>166</v>
      </c>
      <c r="B372">
        <v>48372753</v>
      </c>
      <c r="C372">
        <v>48372744</v>
      </c>
      <c r="D372">
        <v>37732759</v>
      </c>
      <c r="E372">
        <v>1</v>
      </c>
      <c r="F372">
        <v>1</v>
      </c>
      <c r="G372">
        <v>1</v>
      </c>
      <c r="H372">
        <v>3</v>
      </c>
      <c r="I372" t="s">
        <v>911</v>
      </c>
      <c r="J372" t="s">
        <v>912</v>
      </c>
      <c r="K372" t="s">
        <v>913</v>
      </c>
      <c r="L372">
        <v>1348</v>
      </c>
      <c r="N372">
        <v>1009</v>
      </c>
      <c r="O372" t="s">
        <v>536</v>
      </c>
      <c r="P372" t="s">
        <v>536</v>
      </c>
      <c r="Q372">
        <v>1000</v>
      </c>
      <c r="X372">
        <v>2.5000000000000001E-3</v>
      </c>
      <c r="Y372">
        <v>17917</v>
      </c>
      <c r="Z372">
        <v>0</v>
      </c>
      <c r="AA372">
        <v>0</v>
      </c>
      <c r="AB372">
        <v>0</v>
      </c>
      <c r="AC372">
        <v>0</v>
      </c>
      <c r="AD372">
        <v>1</v>
      </c>
      <c r="AE372">
        <v>0</v>
      </c>
      <c r="AF372" t="s">
        <v>3</v>
      </c>
      <c r="AG372">
        <v>2.5000000000000001E-3</v>
      </c>
      <c r="AH372">
        <v>2</v>
      </c>
      <c r="AI372">
        <v>48372753</v>
      </c>
      <c r="AJ372">
        <v>371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</row>
    <row r="373" spans="1:44">
      <c r="A373">
        <f>ROW(Source!A166)</f>
        <v>166</v>
      </c>
      <c r="B373">
        <v>48372754</v>
      </c>
      <c r="C373">
        <v>48372744</v>
      </c>
      <c r="D373">
        <v>37777619</v>
      </c>
      <c r="E373">
        <v>1</v>
      </c>
      <c r="F373">
        <v>1</v>
      </c>
      <c r="G373">
        <v>1</v>
      </c>
      <c r="H373">
        <v>3</v>
      </c>
      <c r="I373" t="s">
        <v>914</v>
      </c>
      <c r="J373" t="s">
        <v>915</v>
      </c>
      <c r="K373" t="s">
        <v>916</v>
      </c>
      <c r="L373">
        <v>1339</v>
      </c>
      <c r="N373">
        <v>1007</v>
      </c>
      <c r="O373" t="s">
        <v>543</v>
      </c>
      <c r="P373" t="s">
        <v>543</v>
      </c>
      <c r="Q373">
        <v>1</v>
      </c>
      <c r="X373">
        <v>2.3999999999999998E-3</v>
      </c>
      <c r="Y373">
        <v>74.58</v>
      </c>
      <c r="Z373">
        <v>0</v>
      </c>
      <c r="AA373">
        <v>0</v>
      </c>
      <c r="AB373">
        <v>0</v>
      </c>
      <c r="AC373">
        <v>0</v>
      </c>
      <c r="AD373">
        <v>1</v>
      </c>
      <c r="AE373">
        <v>0</v>
      </c>
      <c r="AF373" t="s">
        <v>3</v>
      </c>
      <c r="AG373">
        <v>2.3999999999999998E-3</v>
      </c>
      <c r="AH373">
        <v>2</v>
      </c>
      <c r="AI373">
        <v>48372754</v>
      </c>
      <c r="AJ373">
        <v>372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</row>
    <row r="374" spans="1:44">
      <c r="A374">
        <f>ROW(Source!A167)</f>
        <v>167</v>
      </c>
      <c r="B374">
        <v>48372760</v>
      </c>
      <c r="C374">
        <v>48372755</v>
      </c>
      <c r="D374">
        <v>23129805</v>
      </c>
      <c r="E374">
        <v>1</v>
      </c>
      <c r="F374">
        <v>1</v>
      </c>
      <c r="G374">
        <v>1</v>
      </c>
      <c r="H374">
        <v>1</v>
      </c>
      <c r="I374" t="s">
        <v>553</v>
      </c>
      <c r="J374" t="s">
        <v>3</v>
      </c>
      <c r="K374" t="s">
        <v>554</v>
      </c>
      <c r="L374">
        <v>1369</v>
      </c>
      <c r="N374">
        <v>1013</v>
      </c>
      <c r="O374" t="s">
        <v>510</v>
      </c>
      <c r="P374" t="s">
        <v>510</v>
      </c>
      <c r="Q374">
        <v>1</v>
      </c>
      <c r="X374">
        <v>51.3</v>
      </c>
      <c r="Y374">
        <v>0</v>
      </c>
      <c r="Z374">
        <v>0</v>
      </c>
      <c r="AA374">
        <v>0</v>
      </c>
      <c r="AB374">
        <v>7.97</v>
      </c>
      <c r="AC374">
        <v>0</v>
      </c>
      <c r="AD374">
        <v>1</v>
      </c>
      <c r="AE374">
        <v>1</v>
      </c>
      <c r="AF374" t="s">
        <v>3</v>
      </c>
      <c r="AG374">
        <v>51.3</v>
      </c>
      <c r="AH374">
        <v>2</v>
      </c>
      <c r="AI374">
        <v>48372756</v>
      </c>
      <c r="AJ374">
        <v>373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</row>
    <row r="375" spans="1:44">
      <c r="A375">
        <f>ROW(Source!A167)</f>
        <v>167</v>
      </c>
      <c r="B375">
        <v>48372761</v>
      </c>
      <c r="C375">
        <v>48372755</v>
      </c>
      <c r="D375">
        <v>121548</v>
      </c>
      <c r="E375">
        <v>1</v>
      </c>
      <c r="F375">
        <v>1</v>
      </c>
      <c r="G375">
        <v>1</v>
      </c>
      <c r="H375">
        <v>1</v>
      </c>
      <c r="I375" t="s">
        <v>24</v>
      </c>
      <c r="J375" t="s">
        <v>3</v>
      </c>
      <c r="K375" t="s">
        <v>511</v>
      </c>
      <c r="L375">
        <v>608254</v>
      </c>
      <c r="N375">
        <v>1013</v>
      </c>
      <c r="O375" t="s">
        <v>512</v>
      </c>
      <c r="P375" t="s">
        <v>512</v>
      </c>
      <c r="Q375">
        <v>1</v>
      </c>
      <c r="X375">
        <v>0.26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1</v>
      </c>
      <c r="AE375">
        <v>2</v>
      </c>
      <c r="AF375" t="s">
        <v>3</v>
      </c>
      <c r="AG375">
        <v>0.26</v>
      </c>
      <c r="AH375">
        <v>2</v>
      </c>
      <c r="AI375">
        <v>48372757</v>
      </c>
      <c r="AJ375">
        <v>374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</row>
    <row r="376" spans="1:44">
      <c r="A376">
        <f>ROW(Source!A167)</f>
        <v>167</v>
      </c>
      <c r="B376">
        <v>48372762</v>
      </c>
      <c r="C376">
        <v>48372755</v>
      </c>
      <c r="D376">
        <v>37802578</v>
      </c>
      <c r="E376">
        <v>1</v>
      </c>
      <c r="F376">
        <v>1</v>
      </c>
      <c r="G376">
        <v>1</v>
      </c>
      <c r="H376">
        <v>2</v>
      </c>
      <c r="I376" t="s">
        <v>550</v>
      </c>
      <c r="J376" t="s">
        <v>551</v>
      </c>
      <c r="K376" t="s">
        <v>552</v>
      </c>
      <c r="L376">
        <v>1368</v>
      </c>
      <c r="N376">
        <v>1011</v>
      </c>
      <c r="O376" t="s">
        <v>516</v>
      </c>
      <c r="P376" t="s">
        <v>516</v>
      </c>
      <c r="Q376">
        <v>1</v>
      </c>
      <c r="X376">
        <v>0.26</v>
      </c>
      <c r="Y376">
        <v>0</v>
      </c>
      <c r="Z376">
        <v>32.090000000000003</v>
      </c>
      <c r="AA376">
        <v>12.1</v>
      </c>
      <c r="AB376">
        <v>0</v>
      </c>
      <c r="AC376">
        <v>0</v>
      </c>
      <c r="AD376">
        <v>1</v>
      </c>
      <c r="AE376">
        <v>0</v>
      </c>
      <c r="AF376" t="s">
        <v>3</v>
      </c>
      <c r="AG376">
        <v>0.26</v>
      </c>
      <c r="AH376">
        <v>2</v>
      </c>
      <c r="AI376">
        <v>48372758</v>
      </c>
      <c r="AJ376">
        <v>375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</row>
    <row r="377" spans="1:44">
      <c r="A377">
        <f>ROW(Source!A167)</f>
        <v>167</v>
      </c>
      <c r="B377">
        <v>48372763</v>
      </c>
      <c r="C377">
        <v>48372755</v>
      </c>
      <c r="D377">
        <v>37792788</v>
      </c>
      <c r="E377">
        <v>1</v>
      </c>
      <c r="F377">
        <v>1</v>
      </c>
      <c r="G377">
        <v>1</v>
      </c>
      <c r="H377">
        <v>3</v>
      </c>
      <c r="I377" t="s">
        <v>564</v>
      </c>
      <c r="J377" t="s">
        <v>565</v>
      </c>
      <c r="K377" t="s">
        <v>566</v>
      </c>
      <c r="L377">
        <v>1348</v>
      </c>
      <c r="N377">
        <v>1009</v>
      </c>
      <c r="O377" t="s">
        <v>536</v>
      </c>
      <c r="P377" t="s">
        <v>536</v>
      </c>
      <c r="Q377">
        <v>1000</v>
      </c>
      <c r="X377">
        <v>1.82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 t="s">
        <v>3</v>
      </c>
      <c r="AG377">
        <v>1.82</v>
      </c>
      <c r="AH377">
        <v>2</v>
      </c>
      <c r="AI377">
        <v>48372759</v>
      </c>
      <c r="AJ377">
        <v>376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</row>
    <row r="378" spans="1:44">
      <c r="A378">
        <f>ROW(Source!A168)</f>
        <v>168</v>
      </c>
      <c r="B378">
        <v>48372778</v>
      </c>
      <c r="C378">
        <v>48372764</v>
      </c>
      <c r="D378">
        <v>23135499</v>
      </c>
      <c r="E378">
        <v>1</v>
      </c>
      <c r="F378">
        <v>1</v>
      </c>
      <c r="G378">
        <v>1</v>
      </c>
      <c r="H378">
        <v>1</v>
      </c>
      <c r="I378" t="s">
        <v>623</v>
      </c>
      <c r="J378" t="s">
        <v>3</v>
      </c>
      <c r="K378" t="s">
        <v>624</v>
      </c>
      <c r="L378">
        <v>1369</v>
      </c>
      <c r="N378">
        <v>1013</v>
      </c>
      <c r="O378" t="s">
        <v>510</v>
      </c>
      <c r="P378" t="s">
        <v>510</v>
      </c>
      <c r="Q378">
        <v>1</v>
      </c>
      <c r="X378">
        <v>21.65</v>
      </c>
      <c r="Y378">
        <v>0</v>
      </c>
      <c r="Z378">
        <v>0</v>
      </c>
      <c r="AA378">
        <v>0</v>
      </c>
      <c r="AB378">
        <v>8.99</v>
      </c>
      <c r="AC378">
        <v>0</v>
      </c>
      <c r="AD378">
        <v>1</v>
      </c>
      <c r="AE378">
        <v>1</v>
      </c>
      <c r="AF378" t="s">
        <v>161</v>
      </c>
      <c r="AG378">
        <v>24.897499999999997</v>
      </c>
      <c r="AH378">
        <v>2</v>
      </c>
      <c r="AI378">
        <v>48372765</v>
      </c>
      <c r="AJ378">
        <v>377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</row>
    <row r="379" spans="1:44">
      <c r="A379">
        <f>ROW(Source!A168)</f>
        <v>168</v>
      </c>
      <c r="B379">
        <v>48372779</v>
      </c>
      <c r="C379">
        <v>48372764</v>
      </c>
      <c r="D379">
        <v>121548</v>
      </c>
      <c r="E379">
        <v>1</v>
      </c>
      <c r="F379">
        <v>1</v>
      </c>
      <c r="G379">
        <v>1</v>
      </c>
      <c r="H379">
        <v>1</v>
      </c>
      <c r="I379" t="s">
        <v>24</v>
      </c>
      <c r="J379" t="s">
        <v>3</v>
      </c>
      <c r="K379" t="s">
        <v>511</v>
      </c>
      <c r="L379">
        <v>608254</v>
      </c>
      <c r="N379">
        <v>1013</v>
      </c>
      <c r="O379" t="s">
        <v>512</v>
      </c>
      <c r="P379" t="s">
        <v>512</v>
      </c>
      <c r="Q379">
        <v>1</v>
      </c>
      <c r="X379">
        <v>0.13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1</v>
      </c>
      <c r="AE379">
        <v>2</v>
      </c>
      <c r="AF379" t="s">
        <v>160</v>
      </c>
      <c r="AG379">
        <v>0.16250000000000001</v>
      </c>
      <c r="AH379">
        <v>2</v>
      </c>
      <c r="AI379">
        <v>48372766</v>
      </c>
      <c r="AJ379">
        <v>378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</row>
    <row r="380" spans="1:44">
      <c r="A380">
        <f>ROW(Source!A168)</f>
        <v>168</v>
      </c>
      <c r="B380">
        <v>48372780</v>
      </c>
      <c r="C380">
        <v>48372764</v>
      </c>
      <c r="D380">
        <v>37802578</v>
      </c>
      <c r="E380">
        <v>1</v>
      </c>
      <c r="F380">
        <v>1</v>
      </c>
      <c r="G380">
        <v>1</v>
      </c>
      <c r="H380">
        <v>2</v>
      </c>
      <c r="I380" t="s">
        <v>550</v>
      </c>
      <c r="J380" t="s">
        <v>551</v>
      </c>
      <c r="K380" t="s">
        <v>552</v>
      </c>
      <c r="L380">
        <v>1368</v>
      </c>
      <c r="N380">
        <v>1011</v>
      </c>
      <c r="O380" t="s">
        <v>516</v>
      </c>
      <c r="P380" t="s">
        <v>516</v>
      </c>
      <c r="Q380">
        <v>1</v>
      </c>
      <c r="X380">
        <v>0.13</v>
      </c>
      <c r="Y380">
        <v>0</v>
      </c>
      <c r="Z380">
        <v>32.090000000000003</v>
      </c>
      <c r="AA380">
        <v>12.1</v>
      </c>
      <c r="AB380">
        <v>0</v>
      </c>
      <c r="AC380">
        <v>0</v>
      </c>
      <c r="AD380">
        <v>1</v>
      </c>
      <c r="AE380">
        <v>0</v>
      </c>
      <c r="AF380" t="s">
        <v>160</v>
      </c>
      <c r="AG380">
        <v>0.16250000000000001</v>
      </c>
      <c r="AH380">
        <v>2</v>
      </c>
      <c r="AI380">
        <v>48372767</v>
      </c>
      <c r="AJ380">
        <v>379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</row>
    <row r="381" spans="1:44">
      <c r="A381">
        <f>ROW(Source!A168)</f>
        <v>168</v>
      </c>
      <c r="B381">
        <v>48372781</v>
      </c>
      <c r="C381">
        <v>48372764</v>
      </c>
      <c r="D381">
        <v>37804065</v>
      </c>
      <c r="E381">
        <v>1</v>
      </c>
      <c r="F381">
        <v>1</v>
      </c>
      <c r="G381">
        <v>1</v>
      </c>
      <c r="H381">
        <v>2</v>
      </c>
      <c r="I381" t="s">
        <v>690</v>
      </c>
      <c r="J381" t="s">
        <v>691</v>
      </c>
      <c r="K381" t="s">
        <v>692</v>
      </c>
      <c r="L381">
        <v>1368</v>
      </c>
      <c r="N381">
        <v>1011</v>
      </c>
      <c r="O381" t="s">
        <v>516</v>
      </c>
      <c r="P381" t="s">
        <v>516</v>
      </c>
      <c r="Q381">
        <v>1</v>
      </c>
      <c r="X381">
        <v>0.2</v>
      </c>
      <c r="Y381">
        <v>0</v>
      </c>
      <c r="Z381">
        <v>2.15</v>
      </c>
      <c r="AA381">
        <v>0</v>
      </c>
      <c r="AB381">
        <v>0</v>
      </c>
      <c r="AC381">
        <v>0</v>
      </c>
      <c r="AD381">
        <v>1</v>
      </c>
      <c r="AE381">
        <v>0</v>
      </c>
      <c r="AF381" t="s">
        <v>160</v>
      </c>
      <c r="AG381">
        <v>0.25</v>
      </c>
      <c r="AH381">
        <v>2</v>
      </c>
      <c r="AI381">
        <v>48372768</v>
      </c>
      <c r="AJ381">
        <v>380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</row>
    <row r="382" spans="1:44">
      <c r="A382">
        <f>ROW(Source!A168)</f>
        <v>168</v>
      </c>
      <c r="B382">
        <v>48372782</v>
      </c>
      <c r="C382">
        <v>48372764</v>
      </c>
      <c r="D382">
        <v>37804456</v>
      </c>
      <c r="E382">
        <v>1</v>
      </c>
      <c r="F382">
        <v>1</v>
      </c>
      <c r="G382">
        <v>1</v>
      </c>
      <c r="H382">
        <v>2</v>
      </c>
      <c r="I382" t="s">
        <v>530</v>
      </c>
      <c r="J382" t="s">
        <v>531</v>
      </c>
      <c r="K382" t="s">
        <v>532</v>
      </c>
      <c r="L382">
        <v>1368</v>
      </c>
      <c r="N382">
        <v>1011</v>
      </c>
      <c r="O382" t="s">
        <v>516</v>
      </c>
      <c r="P382" t="s">
        <v>516</v>
      </c>
      <c r="Q382">
        <v>1</v>
      </c>
      <c r="X382">
        <v>0.22</v>
      </c>
      <c r="Y382">
        <v>0</v>
      </c>
      <c r="Z382">
        <v>91.76</v>
      </c>
      <c r="AA382">
        <v>10.35</v>
      </c>
      <c r="AB382">
        <v>0</v>
      </c>
      <c r="AC382">
        <v>0</v>
      </c>
      <c r="AD382">
        <v>1</v>
      </c>
      <c r="AE382">
        <v>0</v>
      </c>
      <c r="AF382" t="s">
        <v>160</v>
      </c>
      <c r="AG382">
        <v>0.27500000000000002</v>
      </c>
      <c r="AH382">
        <v>2</v>
      </c>
      <c r="AI382">
        <v>48372769</v>
      </c>
      <c r="AJ382">
        <v>381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</row>
    <row r="383" spans="1:44">
      <c r="A383">
        <f>ROW(Source!A168)</f>
        <v>168</v>
      </c>
      <c r="B383">
        <v>48372783</v>
      </c>
      <c r="C383">
        <v>48372764</v>
      </c>
      <c r="D383">
        <v>37732516</v>
      </c>
      <c r="E383">
        <v>1</v>
      </c>
      <c r="F383">
        <v>1</v>
      </c>
      <c r="G383">
        <v>1</v>
      </c>
      <c r="H383">
        <v>3</v>
      </c>
      <c r="I383" t="s">
        <v>723</v>
      </c>
      <c r="J383" t="s">
        <v>724</v>
      </c>
      <c r="K383" t="s">
        <v>725</v>
      </c>
      <c r="L383">
        <v>1348</v>
      </c>
      <c r="N383">
        <v>1009</v>
      </c>
      <c r="O383" t="s">
        <v>536</v>
      </c>
      <c r="P383" t="s">
        <v>536</v>
      </c>
      <c r="Q383">
        <v>1000</v>
      </c>
      <c r="X383">
        <v>4.0000000000000002E-4</v>
      </c>
      <c r="Y383">
        <v>20713</v>
      </c>
      <c r="Z383">
        <v>0</v>
      </c>
      <c r="AA383">
        <v>0</v>
      </c>
      <c r="AB383">
        <v>0</v>
      </c>
      <c r="AC383">
        <v>0</v>
      </c>
      <c r="AD383">
        <v>1</v>
      </c>
      <c r="AE383">
        <v>0</v>
      </c>
      <c r="AF383" t="s">
        <v>230</v>
      </c>
      <c r="AG383">
        <v>0</v>
      </c>
      <c r="AH383">
        <v>2</v>
      </c>
      <c r="AI383">
        <v>48372770</v>
      </c>
      <c r="AJ383">
        <v>382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</row>
    <row r="384" spans="1:44">
      <c r="A384">
        <f>ROW(Source!A168)</f>
        <v>168</v>
      </c>
      <c r="B384">
        <v>48372784</v>
      </c>
      <c r="C384">
        <v>48372764</v>
      </c>
      <c r="D384">
        <v>37732761</v>
      </c>
      <c r="E384">
        <v>1</v>
      </c>
      <c r="F384">
        <v>1</v>
      </c>
      <c r="G384">
        <v>1</v>
      </c>
      <c r="H384">
        <v>3</v>
      </c>
      <c r="I384" t="s">
        <v>726</v>
      </c>
      <c r="J384" t="s">
        <v>727</v>
      </c>
      <c r="K384" t="s">
        <v>728</v>
      </c>
      <c r="L384">
        <v>1348</v>
      </c>
      <c r="N384">
        <v>1009</v>
      </c>
      <c r="O384" t="s">
        <v>536</v>
      </c>
      <c r="P384" t="s">
        <v>536</v>
      </c>
      <c r="Q384">
        <v>1000</v>
      </c>
      <c r="X384">
        <v>2.0000000000000001E-4</v>
      </c>
      <c r="Y384">
        <v>17917</v>
      </c>
      <c r="Z384">
        <v>0</v>
      </c>
      <c r="AA384">
        <v>0</v>
      </c>
      <c r="AB384">
        <v>0</v>
      </c>
      <c r="AC384">
        <v>0</v>
      </c>
      <c r="AD384">
        <v>1</v>
      </c>
      <c r="AE384">
        <v>0</v>
      </c>
      <c r="AF384" t="s">
        <v>230</v>
      </c>
      <c r="AG384">
        <v>0</v>
      </c>
      <c r="AH384">
        <v>2</v>
      </c>
      <c r="AI384">
        <v>48372771</v>
      </c>
      <c r="AJ384">
        <v>383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</row>
    <row r="385" spans="1:44">
      <c r="A385">
        <f>ROW(Source!A168)</f>
        <v>168</v>
      </c>
      <c r="B385">
        <v>48372785</v>
      </c>
      <c r="C385">
        <v>48372764</v>
      </c>
      <c r="D385">
        <v>37735405</v>
      </c>
      <c r="E385">
        <v>1</v>
      </c>
      <c r="F385">
        <v>1</v>
      </c>
      <c r="G385">
        <v>1</v>
      </c>
      <c r="H385">
        <v>3</v>
      </c>
      <c r="I385" t="s">
        <v>729</v>
      </c>
      <c r="J385" t="s">
        <v>730</v>
      </c>
      <c r="K385" t="s">
        <v>731</v>
      </c>
      <c r="L385">
        <v>1348</v>
      </c>
      <c r="N385">
        <v>1009</v>
      </c>
      <c r="O385" t="s">
        <v>536</v>
      </c>
      <c r="P385" t="s">
        <v>536</v>
      </c>
      <c r="Q385">
        <v>1000</v>
      </c>
      <c r="X385">
        <v>3.5999999999999999E-3</v>
      </c>
      <c r="Y385">
        <v>5989</v>
      </c>
      <c r="Z385">
        <v>0</v>
      </c>
      <c r="AA385">
        <v>0</v>
      </c>
      <c r="AB385">
        <v>0</v>
      </c>
      <c r="AC385">
        <v>0</v>
      </c>
      <c r="AD385">
        <v>1</v>
      </c>
      <c r="AE385">
        <v>0</v>
      </c>
      <c r="AF385" t="s">
        <v>230</v>
      </c>
      <c r="AG385">
        <v>0</v>
      </c>
      <c r="AH385">
        <v>2</v>
      </c>
      <c r="AI385">
        <v>48372772</v>
      </c>
      <c r="AJ385">
        <v>384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</row>
    <row r="386" spans="1:44">
      <c r="A386">
        <f>ROW(Source!A168)</f>
        <v>168</v>
      </c>
      <c r="B386">
        <v>48372786</v>
      </c>
      <c r="C386">
        <v>48372764</v>
      </c>
      <c r="D386">
        <v>37730096</v>
      </c>
      <c r="E386">
        <v>1</v>
      </c>
      <c r="F386">
        <v>1</v>
      </c>
      <c r="G386">
        <v>1</v>
      </c>
      <c r="H386">
        <v>3</v>
      </c>
      <c r="I386" t="s">
        <v>732</v>
      </c>
      <c r="J386" t="s">
        <v>733</v>
      </c>
      <c r="K386" t="s">
        <v>734</v>
      </c>
      <c r="L386">
        <v>1346</v>
      </c>
      <c r="N386">
        <v>1009</v>
      </c>
      <c r="O386" t="s">
        <v>172</v>
      </c>
      <c r="P386" t="s">
        <v>172</v>
      </c>
      <c r="Q386">
        <v>1</v>
      </c>
      <c r="X386">
        <v>0.3</v>
      </c>
      <c r="Y386">
        <v>37.29</v>
      </c>
      <c r="Z386">
        <v>0</v>
      </c>
      <c r="AA386">
        <v>0</v>
      </c>
      <c r="AB386">
        <v>0</v>
      </c>
      <c r="AC386">
        <v>0</v>
      </c>
      <c r="AD386">
        <v>1</v>
      </c>
      <c r="AE386">
        <v>0</v>
      </c>
      <c r="AF386" t="s">
        <v>230</v>
      </c>
      <c r="AG386">
        <v>0</v>
      </c>
      <c r="AH386">
        <v>2</v>
      </c>
      <c r="AI386">
        <v>48372773</v>
      </c>
      <c r="AJ386">
        <v>385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</row>
    <row r="387" spans="1:44">
      <c r="A387">
        <f>ROW(Source!A168)</f>
        <v>168</v>
      </c>
      <c r="B387">
        <v>48372787</v>
      </c>
      <c r="C387">
        <v>48372764</v>
      </c>
      <c r="D387">
        <v>37730022</v>
      </c>
      <c r="E387">
        <v>1</v>
      </c>
      <c r="F387">
        <v>1</v>
      </c>
      <c r="G387">
        <v>1</v>
      </c>
      <c r="H387">
        <v>3</v>
      </c>
      <c r="I387" t="s">
        <v>735</v>
      </c>
      <c r="J387" t="s">
        <v>736</v>
      </c>
      <c r="K387" t="s">
        <v>737</v>
      </c>
      <c r="L387">
        <v>1346</v>
      </c>
      <c r="N387">
        <v>1009</v>
      </c>
      <c r="O387" t="s">
        <v>172</v>
      </c>
      <c r="P387" t="s">
        <v>172</v>
      </c>
      <c r="Q387">
        <v>1</v>
      </c>
      <c r="X387">
        <v>2</v>
      </c>
      <c r="Y387">
        <v>9.61</v>
      </c>
      <c r="Z387">
        <v>0</v>
      </c>
      <c r="AA387">
        <v>0</v>
      </c>
      <c r="AB387">
        <v>0</v>
      </c>
      <c r="AC387">
        <v>0</v>
      </c>
      <c r="AD387">
        <v>1</v>
      </c>
      <c r="AE387">
        <v>0</v>
      </c>
      <c r="AF387" t="s">
        <v>230</v>
      </c>
      <c r="AG387">
        <v>0</v>
      </c>
      <c r="AH387">
        <v>2</v>
      </c>
      <c r="AI387">
        <v>48372774</v>
      </c>
      <c r="AJ387">
        <v>386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</row>
    <row r="388" spans="1:44">
      <c r="A388">
        <f>ROW(Source!A168)</f>
        <v>168</v>
      </c>
      <c r="B388">
        <v>48372788</v>
      </c>
      <c r="C388">
        <v>48372764</v>
      </c>
      <c r="D388">
        <v>37737285</v>
      </c>
      <c r="E388">
        <v>1</v>
      </c>
      <c r="F388">
        <v>1</v>
      </c>
      <c r="G388">
        <v>1</v>
      </c>
      <c r="H388">
        <v>3</v>
      </c>
      <c r="I388" t="s">
        <v>738</v>
      </c>
      <c r="J388" t="s">
        <v>739</v>
      </c>
      <c r="K388" t="s">
        <v>740</v>
      </c>
      <c r="L388">
        <v>1348</v>
      </c>
      <c r="N388">
        <v>1009</v>
      </c>
      <c r="O388" t="s">
        <v>536</v>
      </c>
      <c r="P388" t="s">
        <v>536</v>
      </c>
      <c r="Q388">
        <v>1000</v>
      </c>
      <c r="X388">
        <v>6.9999999999999999E-4</v>
      </c>
      <c r="Y388">
        <v>11350</v>
      </c>
      <c r="Z388">
        <v>0</v>
      </c>
      <c r="AA388">
        <v>0</v>
      </c>
      <c r="AB388">
        <v>0</v>
      </c>
      <c r="AC388">
        <v>0</v>
      </c>
      <c r="AD388">
        <v>1</v>
      </c>
      <c r="AE388">
        <v>0</v>
      </c>
      <c r="AF388" t="s">
        <v>230</v>
      </c>
      <c r="AG388">
        <v>0</v>
      </c>
      <c r="AH388">
        <v>2</v>
      </c>
      <c r="AI388">
        <v>48372775</v>
      </c>
      <c r="AJ388">
        <v>387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</row>
    <row r="389" spans="1:44">
      <c r="A389">
        <f>ROW(Source!A168)</f>
        <v>168</v>
      </c>
      <c r="B389">
        <v>48372789</v>
      </c>
      <c r="C389">
        <v>48372764</v>
      </c>
      <c r="D389">
        <v>37737065</v>
      </c>
      <c r="E389">
        <v>1</v>
      </c>
      <c r="F389">
        <v>1</v>
      </c>
      <c r="G389">
        <v>1</v>
      </c>
      <c r="H389">
        <v>3</v>
      </c>
      <c r="I389" t="s">
        <v>741</v>
      </c>
      <c r="J389" t="s">
        <v>742</v>
      </c>
      <c r="K389" t="s">
        <v>743</v>
      </c>
      <c r="L389">
        <v>1358</v>
      </c>
      <c r="N389">
        <v>1010</v>
      </c>
      <c r="O389" t="s">
        <v>278</v>
      </c>
      <c r="P389" t="s">
        <v>278</v>
      </c>
      <c r="Q389">
        <v>10</v>
      </c>
      <c r="X389">
        <v>4</v>
      </c>
      <c r="Y389">
        <v>2</v>
      </c>
      <c r="Z389">
        <v>0</v>
      </c>
      <c r="AA389">
        <v>0</v>
      </c>
      <c r="AB389">
        <v>0</v>
      </c>
      <c r="AC389">
        <v>0</v>
      </c>
      <c r="AD389">
        <v>1</v>
      </c>
      <c r="AE389">
        <v>0</v>
      </c>
      <c r="AF389" t="s">
        <v>230</v>
      </c>
      <c r="AG389">
        <v>0</v>
      </c>
      <c r="AH389">
        <v>2</v>
      </c>
      <c r="AI389">
        <v>48372776</v>
      </c>
      <c r="AJ389">
        <v>388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</row>
    <row r="390" spans="1:44">
      <c r="A390">
        <f>ROW(Source!A168)</f>
        <v>168</v>
      </c>
      <c r="B390">
        <v>48372790</v>
      </c>
      <c r="C390">
        <v>48372764</v>
      </c>
      <c r="D390">
        <v>37764714</v>
      </c>
      <c r="E390">
        <v>1</v>
      </c>
      <c r="F390">
        <v>1</v>
      </c>
      <c r="G390">
        <v>1</v>
      </c>
      <c r="H390">
        <v>3</v>
      </c>
      <c r="I390" t="s">
        <v>744</v>
      </c>
      <c r="J390" t="s">
        <v>745</v>
      </c>
      <c r="K390" t="s">
        <v>746</v>
      </c>
      <c r="L390">
        <v>1035</v>
      </c>
      <c r="N390">
        <v>1013</v>
      </c>
      <c r="O390" t="s">
        <v>255</v>
      </c>
      <c r="P390" t="s">
        <v>255</v>
      </c>
      <c r="Q390">
        <v>1</v>
      </c>
      <c r="X390">
        <v>10</v>
      </c>
      <c r="Y390">
        <v>237.7</v>
      </c>
      <c r="Z390">
        <v>0</v>
      </c>
      <c r="AA390">
        <v>0</v>
      </c>
      <c r="AB390">
        <v>0</v>
      </c>
      <c r="AC390">
        <v>0</v>
      </c>
      <c r="AD390">
        <v>1</v>
      </c>
      <c r="AE390">
        <v>0</v>
      </c>
      <c r="AF390" t="s">
        <v>230</v>
      </c>
      <c r="AG390">
        <v>0</v>
      </c>
      <c r="AH390">
        <v>2</v>
      </c>
      <c r="AI390">
        <v>48372777</v>
      </c>
      <c r="AJ390">
        <v>389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</row>
    <row r="391" spans="1:44">
      <c r="A391">
        <f>ROW(Source!A169)</f>
        <v>169</v>
      </c>
      <c r="B391">
        <v>48372910</v>
      </c>
      <c r="C391">
        <v>48372909</v>
      </c>
      <c r="D391">
        <v>23146451</v>
      </c>
      <c r="E391">
        <v>1</v>
      </c>
      <c r="F391">
        <v>1</v>
      </c>
      <c r="G391">
        <v>1</v>
      </c>
      <c r="H391">
        <v>1</v>
      </c>
      <c r="I391" t="s">
        <v>917</v>
      </c>
      <c r="J391" t="s">
        <v>3</v>
      </c>
      <c r="K391" t="s">
        <v>918</v>
      </c>
      <c r="L391">
        <v>1369</v>
      </c>
      <c r="N391">
        <v>1013</v>
      </c>
      <c r="O391" t="s">
        <v>510</v>
      </c>
      <c r="P391" t="s">
        <v>510</v>
      </c>
      <c r="Q391">
        <v>1</v>
      </c>
      <c r="X391">
        <v>2.78</v>
      </c>
      <c r="Y391">
        <v>0</v>
      </c>
      <c r="Z391">
        <v>0</v>
      </c>
      <c r="AA391">
        <v>0</v>
      </c>
      <c r="AB391">
        <v>9.4</v>
      </c>
      <c r="AC391">
        <v>0</v>
      </c>
      <c r="AD391">
        <v>1</v>
      </c>
      <c r="AE391">
        <v>1</v>
      </c>
      <c r="AF391" t="s">
        <v>161</v>
      </c>
      <c r="AG391">
        <v>3.1969999999999996</v>
      </c>
      <c r="AH391">
        <v>2</v>
      </c>
      <c r="AI391">
        <v>48372910</v>
      </c>
      <c r="AJ391">
        <v>390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</row>
    <row r="392" spans="1:44">
      <c r="A392">
        <f>ROW(Source!A169)</f>
        <v>169</v>
      </c>
      <c r="B392">
        <v>48372911</v>
      </c>
      <c r="C392">
        <v>48372909</v>
      </c>
      <c r="D392">
        <v>37802657</v>
      </c>
      <c r="E392">
        <v>1</v>
      </c>
      <c r="F392">
        <v>1</v>
      </c>
      <c r="G392">
        <v>1</v>
      </c>
      <c r="H392">
        <v>2</v>
      </c>
      <c r="I392" t="s">
        <v>527</v>
      </c>
      <c r="J392" t="s">
        <v>528</v>
      </c>
      <c r="K392" t="s">
        <v>529</v>
      </c>
      <c r="L392">
        <v>1368</v>
      </c>
      <c r="N392">
        <v>1011</v>
      </c>
      <c r="O392" t="s">
        <v>516</v>
      </c>
      <c r="P392" t="s">
        <v>516</v>
      </c>
      <c r="Q392">
        <v>1</v>
      </c>
      <c r="X392">
        <v>0.73</v>
      </c>
      <c r="Y392">
        <v>0</v>
      </c>
      <c r="Z392">
        <v>7.55</v>
      </c>
      <c r="AA392">
        <v>0</v>
      </c>
      <c r="AB392">
        <v>0</v>
      </c>
      <c r="AC392">
        <v>0</v>
      </c>
      <c r="AD392">
        <v>1</v>
      </c>
      <c r="AE392">
        <v>0</v>
      </c>
      <c r="AF392" t="s">
        <v>160</v>
      </c>
      <c r="AG392">
        <v>0.91249999999999998</v>
      </c>
      <c r="AH392">
        <v>2</v>
      </c>
      <c r="AI392">
        <v>48372911</v>
      </c>
      <c r="AJ392">
        <v>391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</row>
    <row r="393" spans="1:44">
      <c r="A393">
        <f>ROW(Source!A169)</f>
        <v>169</v>
      </c>
      <c r="B393">
        <v>48372912</v>
      </c>
      <c r="C393">
        <v>48372909</v>
      </c>
      <c r="D393">
        <v>37803303</v>
      </c>
      <c r="E393">
        <v>1</v>
      </c>
      <c r="F393">
        <v>1</v>
      </c>
      <c r="G393">
        <v>1</v>
      </c>
      <c r="H393">
        <v>2</v>
      </c>
      <c r="I393" t="s">
        <v>804</v>
      </c>
      <c r="J393" t="s">
        <v>805</v>
      </c>
      <c r="K393" t="s">
        <v>806</v>
      </c>
      <c r="L393">
        <v>1368</v>
      </c>
      <c r="N393">
        <v>1011</v>
      </c>
      <c r="O393" t="s">
        <v>516</v>
      </c>
      <c r="P393" t="s">
        <v>516</v>
      </c>
      <c r="Q393">
        <v>1</v>
      </c>
      <c r="X393">
        <v>0.77</v>
      </c>
      <c r="Y393">
        <v>0</v>
      </c>
      <c r="Z393">
        <v>1.98</v>
      </c>
      <c r="AA393">
        <v>0</v>
      </c>
      <c r="AB393">
        <v>0</v>
      </c>
      <c r="AC393">
        <v>0</v>
      </c>
      <c r="AD393">
        <v>1</v>
      </c>
      <c r="AE393">
        <v>0</v>
      </c>
      <c r="AF393" t="s">
        <v>160</v>
      </c>
      <c r="AG393">
        <v>0.96250000000000002</v>
      </c>
      <c r="AH393">
        <v>2</v>
      </c>
      <c r="AI393">
        <v>48372912</v>
      </c>
      <c r="AJ393">
        <v>392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</row>
    <row r="394" spans="1:44">
      <c r="A394">
        <f>ROW(Source!A169)</f>
        <v>169</v>
      </c>
      <c r="B394">
        <v>48372913</v>
      </c>
      <c r="C394">
        <v>48372909</v>
      </c>
      <c r="D394">
        <v>37804136</v>
      </c>
      <c r="E394">
        <v>1</v>
      </c>
      <c r="F394">
        <v>1</v>
      </c>
      <c r="G394">
        <v>1</v>
      </c>
      <c r="H394">
        <v>2</v>
      </c>
      <c r="I394" t="s">
        <v>828</v>
      </c>
      <c r="J394" t="s">
        <v>829</v>
      </c>
      <c r="K394" t="s">
        <v>830</v>
      </c>
      <c r="L394">
        <v>1368</v>
      </c>
      <c r="N394">
        <v>1011</v>
      </c>
      <c r="O394" t="s">
        <v>516</v>
      </c>
      <c r="P394" t="s">
        <v>516</v>
      </c>
      <c r="Q394">
        <v>1</v>
      </c>
      <c r="X394">
        <v>0.73</v>
      </c>
      <c r="Y394">
        <v>0</v>
      </c>
      <c r="Z394">
        <v>2.27</v>
      </c>
      <c r="AA394">
        <v>0</v>
      </c>
      <c r="AB394">
        <v>0</v>
      </c>
      <c r="AC394">
        <v>0</v>
      </c>
      <c r="AD394">
        <v>1</v>
      </c>
      <c r="AE394">
        <v>0</v>
      </c>
      <c r="AF394" t="s">
        <v>160</v>
      </c>
      <c r="AG394">
        <v>0.91249999999999998</v>
      </c>
      <c r="AH394">
        <v>2</v>
      </c>
      <c r="AI394">
        <v>48372913</v>
      </c>
      <c r="AJ394">
        <v>393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</row>
    <row r="395" spans="1:44">
      <c r="A395">
        <f>ROW(Source!A169)</f>
        <v>169</v>
      </c>
      <c r="B395">
        <v>48372914</v>
      </c>
      <c r="C395">
        <v>48372909</v>
      </c>
      <c r="D395">
        <v>37804456</v>
      </c>
      <c r="E395">
        <v>1</v>
      </c>
      <c r="F395">
        <v>1</v>
      </c>
      <c r="G395">
        <v>1</v>
      </c>
      <c r="H395">
        <v>2</v>
      </c>
      <c r="I395" t="s">
        <v>530</v>
      </c>
      <c r="J395" t="s">
        <v>531</v>
      </c>
      <c r="K395" t="s">
        <v>532</v>
      </c>
      <c r="L395">
        <v>1368</v>
      </c>
      <c r="N395">
        <v>1011</v>
      </c>
      <c r="O395" t="s">
        <v>516</v>
      </c>
      <c r="P395" t="s">
        <v>516</v>
      </c>
      <c r="Q395">
        <v>1</v>
      </c>
      <c r="X395">
        <v>0.02</v>
      </c>
      <c r="Y395">
        <v>0</v>
      </c>
      <c r="Z395">
        <v>91.76</v>
      </c>
      <c r="AA395">
        <v>10.35</v>
      </c>
      <c r="AB395">
        <v>0</v>
      </c>
      <c r="AC395">
        <v>0</v>
      </c>
      <c r="AD395">
        <v>1</v>
      </c>
      <c r="AE395">
        <v>0</v>
      </c>
      <c r="AF395" t="s">
        <v>160</v>
      </c>
      <c r="AG395">
        <v>2.5000000000000001E-2</v>
      </c>
      <c r="AH395">
        <v>2</v>
      </c>
      <c r="AI395">
        <v>48372914</v>
      </c>
      <c r="AJ395">
        <v>394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</row>
    <row r="396" spans="1:44">
      <c r="A396">
        <f>ROW(Source!A169)</f>
        <v>169</v>
      </c>
      <c r="B396">
        <v>48372915</v>
      </c>
      <c r="C396">
        <v>48372909</v>
      </c>
      <c r="D396">
        <v>37736609</v>
      </c>
      <c r="E396">
        <v>1</v>
      </c>
      <c r="F396">
        <v>1</v>
      </c>
      <c r="G396">
        <v>1</v>
      </c>
      <c r="H396">
        <v>3</v>
      </c>
      <c r="I396" t="s">
        <v>810</v>
      </c>
      <c r="J396" t="s">
        <v>811</v>
      </c>
      <c r="K396" t="s">
        <v>812</v>
      </c>
      <c r="L396">
        <v>1348</v>
      </c>
      <c r="N396">
        <v>1009</v>
      </c>
      <c r="O396" t="s">
        <v>536</v>
      </c>
      <c r="P396" t="s">
        <v>536</v>
      </c>
      <c r="Q396">
        <v>1000</v>
      </c>
      <c r="X396">
        <v>8.0000000000000007E-5</v>
      </c>
      <c r="Y396">
        <v>9750</v>
      </c>
      <c r="Z396">
        <v>0</v>
      </c>
      <c r="AA396">
        <v>0</v>
      </c>
      <c r="AB396">
        <v>0</v>
      </c>
      <c r="AC396">
        <v>0</v>
      </c>
      <c r="AD396">
        <v>1</v>
      </c>
      <c r="AE396">
        <v>0</v>
      </c>
      <c r="AF396" t="s">
        <v>3</v>
      </c>
      <c r="AG396">
        <v>8.0000000000000007E-5</v>
      </c>
      <c r="AH396">
        <v>2</v>
      </c>
      <c r="AI396">
        <v>48372915</v>
      </c>
      <c r="AJ396">
        <v>395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</row>
    <row r="397" spans="1:44">
      <c r="A397">
        <f>ROW(Source!A169)</f>
        <v>169</v>
      </c>
      <c r="B397">
        <v>48372916</v>
      </c>
      <c r="C397">
        <v>48372909</v>
      </c>
      <c r="D397">
        <v>37736785</v>
      </c>
      <c r="E397">
        <v>1</v>
      </c>
      <c r="F397">
        <v>1</v>
      </c>
      <c r="G397">
        <v>1</v>
      </c>
      <c r="H397">
        <v>3</v>
      </c>
      <c r="I397" t="s">
        <v>919</v>
      </c>
      <c r="J397" t="s">
        <v>920</v>
      </c>
      <c r="K397" t="s">
        <v>921</v>
      </c>
      <c r="L397">
        <v>1348</v>
      </c>
      <c r="N397">
        <v>1009</v>
      </c>
      <c r="O397" t="s">
        <v>536</v>
      </c>
      <c r="P397" t="s">
        <v>536</v>
      </c>
      <c r="Q397">
        <v>1000</v>
      </c>
      <c r="X397">
        <v>3.0000000000000001E-3</v>
      </c>
      <c r="Y397">
        <v>10068</v>
      </c>
      <c r="Z397">
        <v>0</v>
      </c>
      <c r="AA397">
        <v>0</v>
      </c>
      <c r="AB397">
        <v>0</v>
      </c>
      <c r="AC397">
        <v>0</v>
      </c>
      <c r="AD397">
        <v>1</v>
      </c>
      <c r="AE397">
        <v>0</v>
      </c>
      <c r="AF397" t="s">
        <v>3</v>
      </c>
      <c r="AG397">
        <v>3.0000000000000001E-3</v>
      </c>
      <c r="AH397">
        <v>2</v>
      </c>
      <c r="AI397">
        <v>48372916</v>
      </c>
      <c r="AJ397">
        <v>396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</row>
    <row r="398" spans="1:44">
      <c r="A398">
        <f>ROW(Source!A169)</f>
        <v>169</v>
      </c>
      <c r="B398">
        <v>48372917</v>
      </c>
      <c r="C398">
        <v>48372909</v>
      </c>
      <c r="D398">
        <v>37730109</v>
      </c>
      <c r="E398">
        <v>1</v>
      </c>
      <c r="F398">
        <v>1</v>
      </c>
      <c r="G398">
        <v>1</v>
      </c>
      <c r="H398">
        <v>3</v>
      </c>
      <c r="I398" t="s">
        <v>922</v>
      </c>
      <c r="J398" t="s">
        <v>923</v>
      </c>
      <c r="K398" t="s">
        <v>924</v>
      </c>
      <c r="L398">
        <v>1354</v>
      </c>
      <c r="N398">
        <v>1010</v>
      </c>
      <c r="O398" t="s">
        <v>220</v>
      </c>
      <c r="P398" t="s">
        <v>220</v>
      </c>
      <c r="Q398">
        <v>1</v>
      </c>
      <c r="X398">
        <v>0.19</v>
      </c>
      <c r="Y398">
        <v>111.76</v>
      </c>
      <c r="Z398">
        <v>0</v>
      </c>
      <c r="AA398">
        <v>0</v>
      </c>
      <c r="AB398">
        <v>0</v>
      </c>
      <c r="AC398">
        <v>0</v>
      </c>
      <c r="AD398">
        <v>1</v>
      </c>
      <c r="AE398">
        <v>0</v>
      </c>
      <c r="AF398" t="s">
        <v>3</v>
      </c>
      <c r="AG398">
        <v>0.19</v>
      </c>
      <c r="AH398">
        <v>2</v>
      </c>
      <c r="AI398">
        <v>48372917</v>
      </c>
      <c r="AJ398">
        <v>397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</row>
    <row r="399" spans="1:44">
      <c r="A399">
        <f>ROW(Source!A169)</f>
        <v>169</v>
      </c>
      <c r="B399">
        <v>48372918</v>
      </c>
      <c r="C399">
        <v>48372909</v>
      </c>
      <c r="D399">
        <v>37752592</v>
      </c>
      <c r="E399">
        <v>1</v>
      </c>
      <c r="F399">
        <v>1</v>
      </c>
      <c r="G399">
        <v>1</v>
      </c>
      <c r="H399">
        <v>3</v>
      </c>
      <c r="I399" t="s">
        <v>384</v>
      </c>
      <c r="J399" t="s">
        <v>386</v>
      </c>
      <c r="K399" t="s">
        <v>385</v>
      </c>
      <c r="L399">
        <v>1354</v>
      </c>
      <c r="N399">
        <v>1010</v>
      </c>
      <c r="O399" t="s">
        <v>220</v>
      </c>
      <c r="P399" t="s">
        <v>220</v>
      </c>
      <c r="Q399">
        <v>1</v>
      </c>
      <c r="X399">
        <v>0</v>
      </c>
      <c r="Y399">
        <v>4600.2299999999996</v>
      </c>
      <c r="Z399">
        <v>0</v>
      </c>
      <c r="AA399">
        <v>0</v>
      </c>
      <c r="AB399">
        <v>0</v>
      </c>
      <c r="AC399">
        <v>1</v>
      </c>
      <c r="AD399">
        <v>0</v>
      </c>
      <c r="AE399">
        <v>0</v>
      </c>
      <c r="AF399" t="s">
        <v>3</v>
      </c>
      <c r="AG399">
        <v>0</v>
      </c>
      <c r="AH399">
        <v>3</v>
      </c>
      <c r="AI399">
        <v>-1</v>
      </c>
      <c r="AJ399" t="s">
        <v>3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</row>
    <row r="400" spans="1:44">
      <c r="A400">
        <f>ROW(Source!A172)</f>
        <v>172</v>
      </c>
      <c r="B400">
        <v>48372806</v>
      </c>
      <c r="C400">
        <v>48372802</v>
      </c>
      <c r="D400">
        <v>23132616</v>
      </c>
      <c r="E400">
        <v>1</v>
      </c>
      <c r="F400">
        <v>1</v>
      </c>
      <c r="G400">
        <v>1</v>
      </c>
      <c r="H400">
        <v>1</v>
      </c>
      <c r="I400" t="s">
        <v>558</v>
      </c>
      <c r="J400" t="s">
        <v>3</v>
      </c>
      <c r="K400" t="s">
        <v>559</v>
      </c>
      <c r="L400">
        <v>1369</v>
      </c>
      <c r="N400">
        <v>1013</v>
      </c>
      <c r="O400" t="s">
        <v>510</v>
      </c>
      <c r="P400" t="s">
        <v>510</v>
      </c>
      <c r="Q400">
        <v>1</v>
      </c>
      <c r="X400">
        <v>103.91</v>
      </c>
      <c r="Y400">
        <v>0</v>
      </c>
      <c r="Z400">
        <v>0</v>
      </c>
      <c r="AA400">
        <v>0</v>
      </c>
      <c r="AB400">
        <v>7.56</v>
      </c>
      <c r="AC400">
        <v>0</v>
      </c>
      <c r="AD400">
        <v>1</v>
      </c>
      <c r="AE400">
        <v>1</v>
      </c>
      <c r="AF400" t="s">
        <v>3</v>
      </c>
      <c r="AG400">
        <v>103.91</v>
      </c>
      <c r="AH400">
        <v>2</v>
      </c>
      <c r="AI400">
        <v>48372803</v>
      </c>
      <c r="AJ400">
        <v>398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</row>
    <row r="401" spans="1:44">
      <c r="A401">
        <f>ROW(Source!A172)</f>
        <v>172</v>
      </c>
      <c r="B401">
        <v>48372807</v>
      </c>
      <c r="C401">
        <v>48372802</v>
      </c>
      <c r="D401">
        <v>121548</v>
      </c>
      <c r="E401">
        <v>1</v>
      </c>
      <c r="F401">
        <v>1</v>
      </c>
      <c r="G401">
        <v>1</v>
      </c>
      <c r="H401">
        <v>1</v>
      </c>
      <c r="I401" t="s">
        <v>24</v>
      </c>
      <c r="J401" t="s">
        <v>3</v>
      </c>
      <c r="K401" t="s">
        <v>511</v>
      </c>
      <c r="L401">
        <v>608254</v>
      </c>
      <c r="N401">
        <v>1013</v>
      </c>
      <c r="O401" t="s">
        <v>512</v>
      </c>
      <c r="P401" t="s">
        <v>512</v>
      </c>
      <c r="Q401">
        <v>1</v>
      </c>
      <c r="X401">
        <v>7.74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1</v>
      </c>
      <c r="AE401">
        <v>2</v>
      </c>
      <c r="AF401" t="s">
        <v>3</v>
      </c>
      <c r="AG401">
        <v>7.74</v>
      </c>
      <c r="AH401">
        <v>2</v>
      </c>
      <c r="AI401">
        <v>48372804</v>
      </c>
      <c r="AJ401">
        <v>399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</row>
    <row r="402" spans="1:44">
      <c r="A402">
        <f>ROW(Source!A172)</f>
        <v>172</v>
      </c>
      <c r="B402">
        <v>48372808</v>
      </c>
      <c r="C402">
        <v>48372802</v>
      </c>
      <c r="D402">
        <v>37802578</v>
      </c>
      <c r="E402">
        <v>1</v>
      </c>
      <c r="F402">
        <v>1</v>
      </c>
      <c r="G402">
        <v>1</v>
      </c>
      <c r="H402">
        <v>2</v>
      </c>
      <c r="I402" t="s">
        <v>550</v>
      </c>
      <c r="J402" t="s">
        <v>551</v>
      </c>
      <c r="K402" t="s">
        <v>552</v>
      </c>
      <c r="L402">
        <v>1368</v>
      </c>
      <c r="N402">
        <v>1011</v>
      </c>
      <c r="O402" t="s">
        <v>516</v>
      </c>
      <c r="P402" t="s">
        <v>516</v>
      </c>
      <c r="Q402">
        <v>1</v>
      </c>
      <c r="X402">
        <v>7.74</v>
      </c>
      <c r="Y402">
        <v>0</v>
      </c>
      <c r="Z402">
        <v>32.090000000000003</v>
      </c>
      <c r="AA402">
        <v>12.1</v>
      </c>
      <c r="AB402">
        <v>0</v>
      </c>
      <c r="AC402">
        <v>0</v>
      </c>
      <c r="AD402">
        <v>1</v>
      </c>
      <c r="AE402">
        <v>0</v>
      </c>
      <c r="AF402" t="s">
        <v>3</v>
      </c>
      <c r="AG402">
        <v>7.74</v>
      </c>
      <c r="AH402">
        <v>2</v>
      </c>
      <c r="AI402">
        <v>48372805</v>
      </c>
      <c r="AJ402">
        <v>400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</row>
    <row r="403" spans="1:44">
      <c r="A403">
        <f>ROW(Source!A173)</f>
        <v>173</v>
      </c>
      <c r="B403">
        <v>48372939</v>
      </c>
      <c r="C403">
        <v>48372921</v>
      </c>
      <c r="D403">
        <v>23136905</v>
      </c>
      <c r="E403">
        <v>1</v>
      </c>
      <c r="F403">
        <v>1</v>
      </c>
      <c r="G403">
        <v>1</v>
      </c>
      <c r="H403">
        <v>1</v>
      </c>
      <c r="I403" t="s">
        <v>648</v>
      </c>
      <c r="J403" t="s">
        <v>3</v>
      </c>
      <c r="K403" t="s">
        <v>649</v>
      </c>
      <c r="L403">
        <v>1369</v>
      </c>
      <c r="N403">
        <v>1013</v>
      </c>
      <c r="O403" t="s">
        <v>510</v>
      </c>
      <c r="P403" t="s">
        <v>510</v>
      </c>
      <c r="Q403">
        <v>1</v>
      </c>
      <c r="X403">
        <v>104.28</v>
      </c>
      <c r="Y403">
        <v>0</v>
      </c>
      <c r="Z403">
        <v>0</v>
      </c>
      <c r="AA403">
        <v>0</v>
      </c>
      <c r="AB403">
        <v>8.58</v>
      </c>
      <c r="AC403">
        <v>0</v>
      </c>
      <c r="AD403">
        <v>1</v>
      </c>
      <c r="AE403">
        <v>1</v>
      </c>
      <c r="AF403" t="s">
        <v>161</v>
      </c>
      <c r="AG403">
        <v>119.922</v>
      </c>
      <c r="AH403">
        <v>2</v>
      </c>
      <c r="AI403">
        <v>48372922</v>
      </c>
      <c r="AJ403">
        <v>401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</row>
    <row r="404" spans="1:44">
      <c r="A404">
        <f>ROW(Source!A173)</f>
        <v>173</v>
      </c>
      <c r="B404">
        <v>48372940</v>
      </c>
      <c r="C404">
        <v>48372921</v>
      </c>
      <c r="D404">
        <v>121548</v>
      </c>
      <c r="E404">
        <v>1</v>
      </c>
      <c r="F404">
        <v>1</v>
      </c>
      <c r="G404">
        <v>1</v>
      </c>
      <c r="H404">
        <v>1</v>
      </c>
      <c r="I404" t="s">
        <v>24</v>
      </c>
      <c r="J404" t="s">
        <v>3</v>
      </c>
      <c r="K404" t="s">
        <v>511</v>
      </c>
      <c r="L404">
        <v>608254</v>
      </c>
      <c r="N404">
        <v>1013</v>
      </c>
      <c r="O404" t="s">
        <v>512</v>
      </c>
      <c r="P404" t="s">
        <v>512</v>
      </c>
      <c r="Q404">
        <v>1</v>
      </c>
      <c r="X404">
        <v>11.35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1</v>
      </c>
      <c r="AE404">
        <v>2</v>
      </c>
      <c r="AF404" t="s">
        <v>160</v>
      </c>
      <c r="AG404">
        <v>14.1875</v>
      </c>
      <c r="AH404">
        <v>2</v>
      </c>
      <c r="AI404">
        <v>48372923</v>
      </c>
      <c r="AJ404">
        <v>402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</row>
    <row r="405" spans="1:44">
      <c r="A405">
        <f>ROW(Source!A173)</f>
        <v>173</v>
      </c>
      <c r="B405">
        <v>48372941</v>
      </c>
      <c r="C405">
        <v>48372921</v>
      </c>
      <c r="D405">
        <v>37802359</v>
      </c>
      <c r="E405">
        <v>1</v>
      </c>
      <c r="F405">
        <v>1</v>
      </c>
      <c r="G405">
        <v>1</v>
      </c>
      <c r="H405">
        <v>2</v>
      </c>
      <c r="I405" t="s">
        <v>583</v>
      </c>
      <c r="J405" t="s">
        <v>584</v>
      </c>
      <c r="K405" t="s">
        <v>585</v>
      </c>
      <c r="L405">
        <v>1368</v>
      </c>
      <c r="N405">
        <v>1011</v>
      </c>
      <c r="O405" t="s">
        <v>516</v>
      </c>
      <c r="P405" t="s">
        <v>516</v>
      </c>
      <c r="Q405">
        <v>1</v>
      </c>
      <c r="X405">
        <v>9.69</v>
      </c>
      <c r="Y405">
        <v>0</v>
      </c>
      <c r="Z405">
        <v>103.49</v>
      </c>
      <c r="AA405">
        <v>12.1</v>
      </c>
      <c r="AB405">
        <v>0</v>
      </c>
      <c r="AC405">
        <v>0</v>
      </c>
      <c r="AD405">
        <v>1</v>
      </c>
      <c r="AE405">
        <v>0</v>
      </c>
      <c r="AF405" t="s">
        <v>160</v>
      </c>
      <c r="AG405">
        <v>12.112499999999999</v>
      </c>
      <c r="AH405">
        <v>2</v>
      </c>
      <c r="AI405">
        <v>48372924</v>
      </c>
      <c r="AJ405">
        <v>403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</row>
    <row r="406" spans="1:44">
      <c r="A406">
        <f>ROW(Source!A173)</f>
        <v>173</v>
      </c>
      <c r="B406">
        <v>48372942</v>
      </c>
      <c r="C406">
        <v>48372921</v>
      </c>
      <c r="D406">
        <v>37802443</v>
      </c>
      <c r="E406">
        <v>1</v>
      </c>
      <c r="F406">
        <v>1</v>
      </c>
      <c r="G406">
        <v>1</v>
      </c>
      <c r="H406">
        <v>2</v>
      </c>
      <c r="I406" t="s">
        <v>586</v>
      </c>
      <c r="J406" t="s">
        <v>587</v>
      </c>
      <c r="K406" t="s">
        <v>588</v>
      </c>
      <c r="L406">
        <v>1368</v>
      </c>
      <c r="N406">
        <v>1011</v>
      </c>
      <c r="O406" t="s">
        <v>516</v>
      </c>
      <c r="P406" t="s">
        <v>516</v>
      </c>
      <c r="Q406">
        <v>1</v>
      </c>
      <c r="X406">
        <v>1.66</v>
      </c>
      <c r="Y406">
        <v>0</v>
      </c>
      <c r="Z406">
        <v>124.14</v>
      </c>
      <c r="AA406">
        <v>12.1</v>
      </c>
      <c r="AB406">
        <v>0</v>
      </c>
      <c r="AC406">
        <v>0</v>
      </c>
      <c r="AD406">
        <v>1</v>
      </c>
      <c r="AE406">
        <v>0</v>
      </c>
      <c r="AF406" t="s">
        <v>160</v>
      </c>
      <c r="AG406">
        <v>2.0749999999999997</v>
      </c>
      <c r="AH406">
        <v>2</v>
      </c>
      <c r="AI406">
        <v>48372925</v>
      </c>
      <c r="AJ406">
        <v>404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</row>
    <row r="407" spans="1:44">
      <c r="A407">
        <f>ROW(Source!A173)</f>
        <v>173</v>
      </c>
      <c r="B407">
        <v>48372943</v>
      </c>
      <c r="C407">
        <v>48372921</v>
      </c>
      <c r="D407">
        <v>37803075</v>
      </c>
      <c r="E407">
        <v>1</v>
      </c>
      <c r="F407">
        <v>1</v>
      </c>
      <c r="G407">
        <v>1</v>
      </c>
      <c r="H407">
        <v>2</v>
      </c>
      <c r="I407" t="s">
        <v>768</v>
      </c>
      <c r="J407" t="s">
        <v>769</v>
      </c>
      <c r="K407" t="s">
        <v>770</v>
      </c>
      <c r="L407">
        <v>1368</v>
      </c>
      <c r="N407">
        <v>1011</v>
      </c>
      <c r="O407" t="s">
        <v>516</v>
      </c>
      <c r="P407" t="s">
        <v>516</v>
      </c>
      <c r="Q407">
        <v>1</v>
      </c>
      <c r="X407">
        <v>1.79</v>
      </c>
      <c r="Y407">
        <v>0</v>
      </c>
      <c r="Z407">
        <v>33.19</v>
      </c>
      <c r="AA407">
        <v>0</v>
      </c>
      <c r="AB407">
        <v>0</v>
      </c>
      <c r="AC407">
        <v>0</v>
      </c>
      <c r="AD407">
        <v>1</v>
      </c>
      <c r="AE407">
        <v>0</v>
      </c>
      <c r="AF407" t="s">
        <v>160</v>
      </c>
      <c r="AG407">
        <v>2.2374999999999998</v>
      </c>
      <c r="AH407">
        <v>2</v>
      </c>
      <c r="AI407">
        <v>48372926</v>
      </c>
      <c r="AJ407">
        <v>405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</row>
    <row r="408" spans="1:44">
      <c r="A408">
        <f>ROW(Source!A173)</f>
        <v>173</v>
      </c>
      <c r="B408">
        <v>48372944</v>
      </c>
      <c r="C408">
        <v>48372921</v>
      </c>
      <c r="D408">
        <v>37804456</v>
      </c>
      <c r="E408">
        <v>1</v>
      </c>
      <c r="F408">
        <v>1</v>
      </c>
      <c r="G408">
        <v>1</v>
      </c>
      <c r="H408">
        <v>2</v>
      </c>
      <c r="I408" t="s">
        <v>530</v>
      </c>
      <c r="J408" t="s">
        <v>531</v>
      </c>
      <c r="K408" t="s">
        <v>532</v>
      </c>
      <c r="L408">
        <v>1368</v>
      </c>
      <c r="N408">
        <v>1011</v>
      </c>
      <c r="O408" t="s">
        <v>516</v>
      </c>
      <c r="P408" t="s">
        <v>516</v>
      </c>
      <c r="Q408">
        <v>1</v>
      </c>
      <c r="X408">
        <v>1.99</v>
      </c>
      <c r="Y408">
        <v>0</v>
      </c>
      <c r="Z408">
        <v>91.76</v>
      </c>
      <c r="AA408">
        <v>10.35</v>
      </c>
      <c r="AB408">
        <v>0</v>
      </c>
      <c r="AC408">
        <v>0</v>
      </c>
      <c r="AD408">
        <v>1</v>
      </c>
      <c r="AE408">
        <v>0</v>
      </c>
      <c r="AF408" t="s">
        <v>160</v>
      </c>
      <c r="AG408">
        <v>2.4874999999999998</v>
      </c>
      <c r="AH408">
        <v>2</v>
      </c>
      <c r="AI408">
        <v>48372927</v>
      </c>
      <c r="AJ408">
        <v>406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</row>
    <row r="409" spans="1:44">
      <c r="A409">
        <f>ROW(Source!A173)</f>
        <v>173</v>
      </c>
      <c r="B409">
        <v>48372945</v>
      </c>
      <c r="C409">
        <v>48372921</v>
      </c>
      <c r="D409">
        <v>37736992</v>
      </c>
      <c r="E409">
        <v>1</v>
      </c>
      <c r="F409">
        <v>1</v>
      </c>
      <c r="G409">
        <v>1</v>
      </c>
      <c r="H409">
        <v>3</v>
      </c>
      <c r="I409" t="s">
        <v>771</v>
      </c>
      <c r="J409" t="s">
        <v>772</v>
      </c>
      <c r="K409" t="s">
        <v>773</v>
      </c>
      <c r="L409">
        <v>1348</v>
      </c>
      <c r="N409">
        <v>1009</v>
      </c>
      <c r="O409" t="s">
        <v>536</v>
      </c>
      <c r="P409" t="s">
        <v>536</v>
      </c>
      <c r="Q409">
        <v>1000</v>
      </c>
      <c r="X409">
        <v>2.0999999999999999E-3</v>
      </c>
      <c r="Y409">
        <v>9167</v>
      </c>
      <c r="Z409">
        <v>0</v>
      </c>
      <c r="AA409">
        <v>0</v>
      </c>
      <c r="AB409">
        <v>0</v>
      </c>
      <c r="AC409">
        <v>0</v>
      </c>
      <c r="AD409">
        <v>1</v>
      </c>
      <c r="AE409">
        <v>0</v>
      </c>
      <c r="AF409" t="s">
        <v>3</v>
      </c>
      <c r="AG409">
        <v>2.0999999999999999E-3</v>
      </c>
      <c r="AH409">
        <v>2</v>
      </c>
      <c r="AI409">
        <v>48372928</v>
      </c>
      <c r="AJ409">
        <v>407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</row>
    <row r="410" spans="1:44">
      <c r="A410">
        <f>ROW(Source!A173)</f>
        <v>173</v>
      </c>
      <c r="B410">
        <v>48372946</v>
      </c>
      <c r="C410">
        <v>48372921</v>
      </c>
      <c r="D410">
        <v>37734130</v>
      </c>
      <c r="E410">
        <v>1</v>
      </c>
      <c r="F410">
        <v>1</v>
      </c>
      <c r="G410">
        <v>1</v>
      </c>
      <c r="H410">
        <v>3</v>
      </c>
      <c r="I410" t="s">
        <v>774</v>
      </c>
      <c r="J410" t="s">
        <v>775</v>
      </c>
      <c r="K410" t="s">
        <v>776</v>
      </c>
      <c r="L410">
        <v>1348</v>
      </c>
      <c r="N410">
        <v>1009</v>
      </c>
      <c r="O410" t="s">
        <v>536</v>
      </c>
      <c r="P410" t="s">
        <v>536</v>
      </c>
      <c r="Q410">
        <v>1000</v>
      </c>
      <c r="X410">
        <v>2.3599999999999999E-2</v>
      </c>
      <c r="Y410">
        <v>1695</v>
      </c>
      <c r="Z410">
        <v>0</v>
      </c>
      <c r="AA410">
        <v>0</v>
      </c>
      <c r="AB410">
        <v>0</v>
      </c>
      <c r="AC410">
        <v>0</v>
      </c>
      <c r="AD410">
        <v>1</v>
      </c>
      <c r="AE410">
        <v>0</v>
      </c>
      <c r="AF410" t="s">
        <v>3</v>
      </c>
      <c r="AG410">
        <v>2.3599999999999999E-2</v>
      </c>
      <c r="AH410">
        <v>2</v>
      </c>
      <c r="AI410">
        <v>48372929</v>
      </c>
      <c r="AJ410">
        <v>408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</row>
    <row r="411" spans="1:44">
      <c r="A411">
        <f>ROW(Source!A173)</f>
        <v>173</v>
      </c>
      <c r="B411">
        <v>48372947</v>
      </c>
      <c r="C411">
        <v>48372921</v>
      </c>
      <c r="D411">
        <v>37731351</v>
      </c>
      <c r="E411">
        <v>1</v>
      </c>
      <c r="F411">
        <v>1</v>
      </c>
      <c r="G411">
        <v>1</v>
      </c>
      <c r="H411">
        <v>3</v>
      </c>
      <c r="I411" t="s">
        <v>777</v>
      </c>
      <c r="J411" t="s">
        <v>778</v>
      </c>
      <c r="K411" t="s">
        <v>779</v>
      </c>
      <c r="L411">
        <v>1327</v>
      </c>
      <c r="N411">
        <v>1005</v>
      </c>
      <c r="O411" t="s">
        <v>189</v>
      </c>
      <c r="P411" t="s">
        <v>189</v>
      </c>
      <c r="Q411">
        <v>1</v>
      </c>
      <c r="X411">
        <v>89</v>
      </c>
      <c r="Y411">
        <v>5.82</v>
      </c>
      <c r="Z411">
        <v>0</v>
      </c>
      <c r="AA411">
        <v>0</v>
      </c>
      <c r="AB411">
        <v>0</v>
      </c>
      <c r="AC411">
        <v>0</v>
      </c>
      <c r="AD411">
        <v>1</v>
      </c>
      <c r="AE411">
        <v>0</v>
      </c>
      <c r="AF411" t="s">
        <v>3</v>
      </c>
      <c r="AG411">
        <v>89</v>
      </c>
      <c r="AH411">
        <v>2</v>
      </c>
      <c r="AI411">
        <v>48372930</v>
      </c>
      <c r="AJ411">
        <v>409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</row>
    <row r="412" spans="1:44">
      <c r="A412">
        <f>ROW(Source!A173)</f>
        <v>173</v>
      </c>
      <c r="B412">
        <v>48372948</v>
      </c>
      <c r="C412">
        <v>48372921</v>
      </c>
      <c r="D412">
        <v>37735313</v>
      </c>
      <c r="E412">
        <v>1</v>
      </c>
      <c r="F412">
        <v>1</v>
      </c>
      <c r="G412">
        <v>1</v>
      </c>
      <c r="H412">
        <v>3</v>
      </c>
      <c r="I412" t="s">
        <v>780</v>
      </c>
      <c r="J412" t="s">
        <v>781</v>
      </c>
      <c r="K412" t="s">
        <v>782</v>
      </c>
      <c r="L412">
        <v>1346</v>
      </c>
      <c r="N412">
        <v>1009</v>
      </c>
      <c r="O412" t="s">
        <v>172</v>
      </c>
      <c r="P412" t="s">
        <v>172</v>
      </c>
      <c r="Q412">
        <v>1</v>
      </c>
      <c r="X412">
        <v>37.5</v>
      </c>
      <c r="Y412">
        <v>10.41</v>
      </c>
      <c r="Z412">
        <v>0</v>
      </c>
      <c r="AA412">
        <v>0</v>
      </c>
      <c r="AB412">
        <v>0</v>
      </c>
      <c r="AC412">
        <v>0</v>
      </c>
      <c r="AD412">
        <v>1</v>
      </c>
      <c r="AE412">
        <v>0</v>
      </c>
      <c r="AF412" t="s">
        <v>3</v>
      </c>
      <c r="AG412">
        <v>37.5</v>
      </c>
      <c r="AH412">
        <v>2</v>
      </c>
      <c r="AI412">
        <v>48372931</v>
      </c>
      <c r="AJ412">
        <v>410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</row>
    <row r="413" spans="1:44">
      <c r="A413">
        <f>ROW(Source!A173)</f>
        <v>173</v>
      </c>
      <c r="B413">
        <v>48372949</v>
      </c>
      <c r="C413">
        <v>48372921</v>
      </c>
      <c r="D413">
        <v>37736933</v>
      </c>
      <c r="E413">
        <v>1</v>
      </c>
      <c r="F413">
        <v>1</v>
      </c>
      <c r="G413">
        <v>1</v>
      </c>
      <c r="H413">
        <v>3</v>
      </c>
      <c r="I413" t="s">
        <v>783</v>
      </c>
      <c r="J413" t="s">
        <v>784</v>
      </c>
      <c r="K413" t="s">
        <v>785</v>
      </c>
      <c r="L413">
        <v>1348</v>
      </c>
      <c r="N413">
        <v>1009</v>
      </c>
      <c r="O413" t="s">
        <v>536</v>
      </c>
      <c r="P413" t="s">
        <v>536</v>
      </c>
      <c r="Q413">
        <v>1000</v>
      </c>
      <c r="X413">
        <v>4.13E-3</v>
      </c>
      <c r="Y413">
        <v>12936</v>
      </c>
      <c r="Z413">
        <v>0</v>
      </c>
      <c r="AA413">
        <v>0</v>
      </c>
      <c r="AB413">
        <v>0</v>
      </c>
      <c r="AC413">
        <v>0</v>
      </c>
      <c r="AD413">
        <v>1</v>
      </c>
      <c r="AE413">
        <v>0</v>
      </c>
      <c r="AF413" t="s">
        <v>3</v>
      </c>
      <c r="AG413">
        <v>4.13E-3</v>
      </c>
      <c r="AH413">
        <v>2</v>
      </c>
      <c r="AI413">
        <v>48372932</v>
      </c>
      <c r="AJ413">
        <v>411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</row>
    <row r="414" spans="1:44">
      <c r="A414">
        <f>ROW(Source!A173)</f>
        <v>173</v>
      </c>
      <c r="B414">
        <v>48372950</v>
      </c>
      <c r="C414">
        <v>48372921</v>
      </c>
      <c r="D414">
        <v>37730106</v>
      </c>
      <c r="E414">
        <v>1</v>
      </c>
      <c r="F414">
        <v>1</v>
      </c>
      <c r="G414">
        <v>1</v>
      </c>
      <c r="H414">
        <v>3</v>
      </c>
      <c r="I414" t="s">
        <v>786</v>
      </c>
      <c r="J414" t="s">
        <v>787</v>
      </c>
      <c r="K414" t="s">
        <v>788</v>
      </c>
      <c r="L414">
        <v>1296</v>
      </c>
      <c r="N414">
        <v>1002</v>
      </c>
      <c r="O414" t="s">
        <v>789</v>
      </c>
      <c r="P414" t="s">
        <v>789</v>
      </c>
      <c r="Q414">
        <v>1</v>
      </c>
      <c r="X414">
        <v>32.4</v>
      </c>
      <c r="Y414">
        <v>47.56</v>
      </c>
      <c r="Z414">
        <v>0</v>
      </c>
      <c r="AA414">
        <v>0</v>
      </c>
      <c r="AB414">
        <v>0</v>
      </c>
      <c r="AC414">
        <v>0</v>
      </c>
      <c r="AD414">
        <v>1</v>
      </c>
      <c r="AE414">
        <v>0</v>
      </c>
      <c r="AF414" t="s">
        <v>3</v>
      </c>
      <c r="AG414">
        <v>32.4</v>
      </c>
      <c r="AH414">
        <v>2</v>
      </c>
      <c r="AI414">
        <v>48372933</v>
      </c>
      <c r="AJ414">
        <v>412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</row>
    <row r="415" spans="1:44">
      <c r="A415">
        <f>ROW(Source!A173)</f>
        <v>173</v>
      </c>
      <c r="B415">
        <v>48372951</v>
      </c>
      <c r="C415">
        <v>48372921</v>
      </c>
      <c r="D415">
        <v>37737435</v>
      </c>
      <c r="E415">
        <v>1</v>
      </c>
      <c r="F415">
        <v>1</v>
      </c>
      <c r="G415">
        <v>1</v>
      </c>
      <c r="H415">
        <v>3</v>
      </c>
      <c r="I415" t="s">
        <v>790</v>
      </c>
      <c r="J415" t="s">
        <v>791</v>
      </c>
      <c r="K415" t="s">
        <v>792</v>
      </c>
      <c r="L415">
        <v>1035</v>
      </c>
      <c r="N415">
        <v>1013</v>
      </c>
      <c r="O415" t="s">
        <v>255</v>
      </c>
      <c r="P415" t="s">
        <v>255</v>
      </c>
      <c r="Q415">
        <v>1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1</v>
      </c>
      <c r="AD415">
        <v>0</v>
      </c>
      <c r="AE415">
        <v>0</v>
      </c>
      <c r="AF415" t="s">
        <v>3</v>
      </c>
      <c r="AG415">
        <v>0</v>
      </c>
      <c r="AH415">
        <v>2</v>
      </c>
      <c r="AI415">
        <v>48372934</v>
      </c>
      <c r="AJ415">
        <v>413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</row>
    <row r="416" spans="1:44">
      <c r="A416">
        <f>ROW(Source!A173)</f>
        <v>173</v>
      </c>
      <c r="B416">
        <v>48372952</v>
      </c>
      <c r="C416">
        <v>48372921</v>
      </c>
      <c r="D416">
        <v>37738205</v>
      </c>
      <c r="E416">
        <v>1</v>
      </c>
      <c r="F416">
        <v>1</v>
      </c>
      <c r="G416">
        <v>1</v>
      </c>
      <c r="H416">
        <v>3</v>
      </c>
      <c r="I416" t="s">
        <v>793</v>
      </c>
      <c r="J416" t="s">
        <v>794</v>
      </c>
      <c r="K416" t="s">
        <v>795</v>
      </c>
      <c r="L416">
        <v>1339</v>
      </c>
      <c r="N416">
        <v>1007</v>
      </c>
      <c r="O416" t="s">
        <v>543</v>
      </c>
      <c r="P416" t="s">
        <v>543</v>
      </c>
      <c r="Q416">
        <v>1</v>
      </c>
      <c r="X416">
        <v>0.08</v>
      </c>
      <c r="Y416">
        <v>919.99</v>
      </c>
      <c r="Z416">
        <v>0</v>
      </c>
      <c r="AA416">
        <v>0</v>
      </c>
      <c r="AB416">
        <v>0</v>
      </c>
      <c r="AC416">
        <v>0</v>
      </c>
      <c r="AD416">
        <v>1</v>
      </c>
      <c r="AE416">
        <v>0</v>
      </c>
      <c r="AF416" t="s">
        <v>3</v>
      </c>
      <c r="AG416">
        <v>0.08</v>
      </c>
      <c r="AH416">
        <v>2</v>
      </c>
      <c r="AI416">
        <v>48372935</v>
      </c>
      <c r="AJ416">
        <v>414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</row>
    <row r="417" spans="1:44">
      <c r="A417">
        <f>ROW(Source!A173)</f>
        <v>173</v>
      </c>
      <c r="B417">
        <v>48372953</v>
      </c>
      <c r="C417">
        <v>48372921</v>
      </c>
      <c r="D417">
        <v>37752537</v>
      </c>
      <c r="E417">
        <v>1</v>
      </c>
      <c r="F417">
        <v>1</v>
      </c>
      <c r="G417">
        <v>1</v>
      </c>
      <c r="H417">
        <v>3</v>
      </c>
      <c r="I417" t="s">
        <v>245</v>
      </c>
      <c r="J417" t="s">
        <v>247</v>
      </c>
      <c r="K417" t="s">
        <v>246</v>
      </c>
      <c r="L417">
        <v>1327</v>
      </c>
      <c r="N417">
        <v>1005</v>
      </c>
      <c r="O417" t="s">
        <v>189</v>
      </c>
      <c r="P417" t="s">
        <v>189</v>
      </c>
      <c r="Q417">
        <v>1</v>
      </c>
      <c r="X417">
        <v>100</v>
      </c>
      <c r="Y417">
        <v>208.29</v>
      </c>
      <c r="Z417">
        <v>0</v>
      </c>
      <c r="AA417">
        <v>0</v>
      </c>
      <c r="AB417">
        <v>0</v>
      </c>
      <c r="AC417">
        <v>0</v>
      </c>
      <c r="AD417">
        <v>1</v>
      </c>
      <c r="AE417">
        <v>0</v>
      </c>
      <c r="AF417" t="s">
        <v>3</v>
      </c>
      <c r="AG417">
        <v>100</v>
      </c>
      <c r="AH417">
        <v>2</v>
      </c>
      <c r="AI417">
        <v>48372936</v>
      </c>
      <c r="AJ417">
        <v>415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</row>
    <row r="418" spans="1:44">
      <c r="A418">
        <f>ROW(Source!A173)</f>
        <v>173</v>
      </c>
      <c r="B418">
        <v>48372954</v>
      </c>
      <c r="C418">
        <v>48372921</v>
      </c>
      <c r="D418">
        <v>37768070</v>
      </c>
      <c r="E418">
        <v>1</v>
      </c>
      <c r="F418">
        <v>1</v>
      </c>
      <c r="G418">
        <v>1</v>
      </c>
      <c r="H418">
        <v>3</v>
      </c>
      <c r="I418" t="s">
        <v>796</v>
      </c>
      <c r="J418" t="s">
        <v>797</v>
      </c>
      <c r="K418" t="s">
        <v>798</v>
      </c>
      <c r="L418">
        <v>1339</v>
      </c>
      <c r="N418">
        <v>1007</v>
      </c>
      <c r="O418" t="s">
        <v>543</v>
      </c>
      <c r="P418" t="s">
        <v>543</v>
      </c>
      <c r="Q418">
        <v>1</v>
      </c>
      <c r="X418">
        <v>0.105</v>
      </c>
      <c r="Y418">
        <v>360</v>
      </c>
      <c r="Z418">
        <v>0</v>
      </c>
      <c r="AA418">
        <v>0</v>
      </c>
      <c r="AB418">
        <v>0</v>
      </c>
      <c r="AC418">
        <v>0</v>
      </c>
      <c r="AD418">
        <v>1</v>
      </c>
      <c r="AE418">
        <v>0</v>
      </c>
      <c r="AF418" t="s">
        <v>3</v>
      </c>
      <c r="AG418">
        <v>0.105</v>
      </c>
      <c r="AH418">
        <v>2</v>
      </c>
      <c r="AI418">
        <v>48372937</v>
      </c>
      <c r="AJ418">
        <v>416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</row>
    <row r="419" spans="1:44">
      <c r="A419">
        <f>ROW(Source!A173)</f>
        <v>173</v>
      </c>
      <c r="B419">
        <v>48372955</v>
      </c>
      <c r="C419">
        <v>48372921</v>
      </c>
      <c r="D419">
        <v>37777026</v>
      </c>
      <c r="E419">
        <v>1</v>
      </c>
      <c r="F419">
        <v>1</v>
      </c>
      <c r="G419">
        <v>1</v>
      </c>
      <c r="H419">
        <v>3</v>
      </c>
      <c r="I419" t="s">
        <v>645</v>
      </c>
      <c r="J419" t="s">
        <v>646</v>
      </c>
      <c r="K419" t="s">
        <v>647</v>
      </c>
      <c r="L419">
        <v>1348</v>
      </c>
      <c r="N419">
        <v>1009</v>
      </c>
      <c r="O419" t="s">
        <v>536</v>
      </c>
      <c r="P419" t="s">
        <v>536</v>
      </c>
      <c r="Q419">
        <v>1000</v>
      </c>
      <c r="X419">
        <v>1.6E-2</v>
      </c>
      <c r="Y419">
        <v>729.98</v>
      </c>
      <c r="Z419">
        <v>0</v>
      </c>
      <c r="AA419">
        <v>0</v>
      </c>
      <c r="AB419">
        <v>0</v>
      </c>
      <c r="AC419">
        <v>0</v>
      </c>
      <c r="AD419">
        <v>1</v>
      </c>
      <c r="AE419">
        <v>0</v>
      </c>
      <c r="AF419" t="s">
        <v>3</v>
      </c>
      <c r="AG419">
        <v>1.6E-2</v>
      </c>
      <c r="AH419">
        <v>2</v>
      </c>
      <c r="AI419">
        <v>48372938</v>
      </c>
      <c r="AJ419">
        <v>417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</row>
    <row r="420" spans="1:44">
      <c r="A420">
        <f>ROW(Source!A177)</f>
        <v>177</v>
      </c>
      <c r="B420">
        <v>48372993</v>
      </c>
      <c r="C420">
        <v>48372992</v>
      </c>
      <c r="D420">
        <v>23131263</v>
      </c>
      <c r="E420">
        <v>1</v>
      </c>
      <c r="F420">
        <v>1</v>
      </c>
      <c r="G420">
        <v>1</v>
      </c>
      <c r="H420">
        <v>1</v>
      </c>
      <c r="I420" t="s">
        <v>799</v>
      </c>
      <c r="J420" t="s">
        <v>3</v>
      </c>
      <c r="K420" t="s">
        <v>800</v>
      </c>
      <c r="L420">
        <v>1369</v>
      </c>
      <c r="N420">
        <v>1013</v>
      </c>
      <c r="O420" t="s">
        <v>510</v>
      </c>
      <c r="P420" t="s">
        <v>510</v>
      </c>
      <c r="Q420">
        <v>1</v>
      </c>
      <c r="X420">
        <v>7.82</v>
      </c>
      <c r="Y420">
        <v>0</v>
      </c>
      <c r="Z420">
        <v>0</v>
      </c>
      <c r="AA420">
        <v>0</v>
      </c>
      <c r="AB420">
        <v>7.63</v>
      </c>
      <c r="AC420">
        <v>0</v>
      </c>
      <c r="AD420">
        <v>1</v>
      </c>
      <c r="AE420">
        <v>1</v>
      </c>
      <c r="AF420" t="s">
        <v>161</v>
      </c>
      <c r="AG420">
        <v>8.9930000000000003</v>
      </c>
      <c r="AH420">
        <v>2</v>
      </c>
      <c r="AI420">
        <v>48372993</v>
      </c>
      <c r="AJ420">
        <v>418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</row>
    <row r="421" spans="1:44">
      <c r="A421">
        <f>ROW(Source!A177)</f>
        <v>177</v>
      </c>
      <c r="B421">
        <v>48372994</v>
      </c>
      <c r="C421">
        <v>48372992</v>
      </c>
      <c r="D421">
        <v>37804456</v>
      </c>
      <c r="E421">
        <v>1</v>
      </c>
      <c r="F421">
        <v>1</v>
      </c>
      <c r="G421">
        <v>1</v>
      </c>
      <c r="H421">
        <v>2</v>
      </c>
      <c r="I421" t="s">
        <v>530</v>
      </c>
      <c r="J421" t="s">
        <v>531</v>
      </c>
      <c r="K421" t="s">
        <v>532</v>
      </c>
      <c r="L421">
        <v>1368</v>
      </c>
      <c r="N421">
        <v>1011</v>
      </c>
      <c r="O421" t="s">
        <v>516</v>
      </c>
      <c r="P421" t="s">
        <v>516</v>
      </c>
      <c r="Q421">
        <v>1</v>
      </c>
      <c r="X421">
        <v>0.04</v>
      </c>
      <c r="Y421">
        <v>0</v>
      </c>
      <c r="Z421">
        <v>91.76</v>
      </c>
      <c r="AA421">
        <v>10.35</v>
      </c>
      <c r="AB421">
        <v>0</v>
      </c>
      <c r="AC421">
        <v>0</v>
      </c>
      <c r="AD421">
        <v>1</v>
      </c>
      <c r="AE421">
        <v>0</v>
      </c>
      <c r="AF421" t="s">
        <v>160</v>
      </c>
      <c r="AG421">
        <v>0.05</v>
      </c>
      <c r="AH421">
        <v>2</v>
      </c>
      <c r="AI421">
        <v>48372994</v>
      </c>
      <c r="AJ421">
        <v>419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</row>
    <row r="422" spans="1:44">
      <c r="A422">
        <f>ROW(Source!A177)</f>
        <v>177</v>
      </c>
      <c r="B422">
        <v>48372995</v>
      </c>
      <c r="C422">
        <v>48372992</v>
      </c>
      <c r="D422">
        <v>37736933</v>
      </c>
      <c r="E422">
        <v>1</v>
      </c>
      <c r="F422">
        <v>1</v>
      </c>
      <c r="G422">
        <v>1</v>
      </c>
      <c r="H422">
        <v>3</v>
      </c>
      <c r="I422" t="s">
        <v>783</v>
      </c>
      <c r="J422" t="s">
        <v>784</v>
      </c>
      <c r="K422" t="s">
        <v>785</v>
      </c>
      <c r="L422">
        <v>1348</v>
      </c>
      <c r="N422">
        <v>1009</v>
      </c>
      <c r="O422" t="s">
        <v>536</v>
      </c>
      <c r="P422" t="s">
        <v>536</v>
      </c>
      <c r="Q422">
        <v>1000</v>
      </c>
      <c r="X422">
        <v>7.1000000000000002E-4</v>
      </c>
      <c r="Y422">
        <v>12936</v>
      </c>
      <c r="Z422">
        <v>0</v>
      </c>
      <c r="AA422">
        <v>0</v>
      </c>
      <c r="AB422">
        <v>0</v>
      </c>
      <c r="AC422">
        <v>0</v>
      </c>
      <c r="AD422">
        <v>1</v>
      </c>
      <c r="AE422">
        <v>0</v>
      </c>
      <c r="AF422" t="s">
        <v>3</v>
      </c>
      <c r="AG422">
        <v>7.1000000000000002E-4</v>
      </c>
      <c r="AH422">
        <v>2</v>
      </c>
      <c r="AI422">
        <v>48372995</v>
      </c>
      <c r="AJ422">
        <v>420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</row>
    <row r="423" spans="1:44">
      <c r="A423">
        <f>ROW(Source!A177)</f>
        <v>177</v>
      </c>
      <c r="B423">
        <v>48372996</v>
      </c>
      <c r="C423">
        <v>48372992</v>
      </c>
      <c r="D423">
        <v>37752953</v>
      </c>
      <c r="E423">
        <v>1</v>
      </c>
      <c r="F423">
        <v>1</v>
      </c>
      <c r="G423">
        <v>1</v>
      </c>
      <c r="H423">
        <v>3</v>
      </c>
      <c r="I423" t="s">
        <v>801</v>
      </c>
      <c r="J423" t="s">
        <v>802</v>
      </c>
      <c r="K423" t="s">
        <v>803</v>
      </c>
      <c r="L423">
        <v>1301</v>
      </c>
      <c r="N423">
        <v>1003</v>
      </c>
      <c r="O423" t="s">
        <v>208</v>
      </c>
      <c r="P423" t="s">
        <v>208</v>
      </c>
      <c r="Q423">
        <v>1</v>
      </c>
      <c r="X423">
        <v>112</v>
      </c>
      <c r="Y423">
        <v>3.96</v>
      </c>
      <c r="Z423">
        <v>0</v>
      </c>
      <c r="AA423">
        <v>0</v>
      </c>
      <c r="AB423">
        <v>0</v>
      </c>
      <c r="AC423">
        <v>0</v>
      </c>
      <c r="AD423">
        <v>1</v>
      </c>
      <c r="AE423">
        <v>0</v>
      </c>
      <c r="AF423" t="s">
        <v>3</v>
      </c>
      <c r="AG423">
        <v>112</v>
      </c>
      <c r="AH423">
        <v>2</v>
      </c>
      <c r="AI423">
        <v>48372996</v>
      </c>
      <c r="AJ423">
        <v>421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</row>
    <row r="424" spans="1:44">
      <c r="A424">
        <f>ROW(Source!A178)</f>
        <v>178</v>
      </c>
      <c r="B424">
        <v>48373057</v>
      </c>
      <c r="C424">
        <v>48373047</v>
      </c>
      <c r="D424">
        <v>23136905</v>
      </c>
      <c r="E424">
        <v>1</v>
      </c>
      <c r="F424">
        <v>1</v>
      </c>
      <c r="G424">
        <v>1</v>
      </c>
      <c r="H424">
        <v>1</v>
      </c>
      <c r="I424" t="s">
        <v>648</v>
      </c>
      <c r="J424" t="s">
        <v>3</v>
      </c>
      <c r="K424" t="s">
        <v>649</v>
      </c>
      <c r="L424">
        <v>1369</v>
      </c>
      <c r="N424">
        <v>1013</v>
      </c>
      <c r="O424" t="s">
        <v>510</v>
      </c>
      <c r="P424" t="s">
        <v>510</v>
      </c>
      <c r="Q424">
        <v>1</v>
      </c>
      <c r="X424">
        <v>166.47</v>
      </c>
      <c r="Y424">
        <v>0</v>
      </c>
      <c r="Z424">
        <v>0</v>
      </c>
      <c r="AA424">
        <v>0</v>
      </c>
      <c r="AB424">
        <v>8.58</v>
      </c>
      <c r="AC424">
        <v>0</v>
      </c>
      <c r="AD424">
        <v>1</v>
      </c>
      <c r="AE424">
        <v>1</v>
      </c>
      <c r="AF424" t="s">
        <v>161</v>
      </c>
      <c r="AG424">
        <v>191.44049999999999</v>
      </c>
      <c r="AH424">
        <v>2</v>
      </c>
      <c r="AI424">
        <v>48373048</v>
      </c>
      <c r="AJ424">
        <v>422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</row>
    <row r="425" spans="1:44">
      <c r="A425">
        <f>ROW(Source!A178)</f>
        <v>178</v>
      </c>
      <c r="B425">
        <v>48373058</v>
      </c>
      <c r="C425">
        <v>48373047</v>
      </c>
      <c r="D425">
        <v>121548</v>
      </c>
      <c r="E425">
        <v>1</v>
      </c>
      <c r="F425">
        <v>1</v>
      </c>
      <c r="G425">
        <v>1</v>
      </c>
      <c r="H425">
        <v>1</v>
      </c>
      <c r="I425" t="s">
        <v>24</v>
      </c>
      <c r="J425" t="s">
        <v>3</v>
      </c>
      <c r="K425" t="s">
        <v>511</v>
      </c>
      <c r="L425">
        <v>608254</v>
      </c>
      <c r="N425">
        <v>1013</v>
      </c>
      <c r="O425" t="s">
        <v>512</v>
      </c>
      <c r="P425" t="s">
        <v>512</v>
      </c>
      <c r="Q425">
        <v>1</v>
      </c>
      <c r="X425">
        <v>0.08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1</v>
      </c>
      <c r="AE425">
        <v>2</v>
      </c>
      <c r="AF425" t="s">
        <v>160</v>
      </c>
      <c r="AG425">
        <v>0.1</v>
      </c>
      <c r="AH425">
        <v>2</v>
      </c>
      <c r="AI425">
        <v>48373049</v>
      </c>
      <c r="AJ425">
        <v>423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</row>
    <row r="426" spans="1:44">
      <c r="A426">
        <f>ROW(Source!A178)</f>
        <v>178</v>
      </c>
      <c r="B426">
        <v>48373059</v>
      </c>
      <c r="C426">
        <v>48373047</v>
      </c>
      <c r="D426">
        <v>37802578</v>
      </c>
      <c r="E426">
        <v>1</v>
      </c>
      <c r="F426">
        <v>1</v>
      </c>
      <c r="G426">
        <v>1</v>
      </c>
      <c r="H426">
        <v>2</v>
      </c>
      <c r="I426" t="s">
        <v>550</v>
      </c>
      <c r="J426" t="s">
        <v>551</v>
      </c>
      <c r="K426" t="s">
        <v>552</v>
      </c>
      <c r="L426">
        <v>1368</v>
      </c>
      <c r="N426">
        <v>1011</v>
      </c>
      <c r="O426" t="s">
        <v>516</v>
      </c>
      <c r="P426" t="s">
        <v>516</v>
      </c>
      <c r="Q426">
        <v>1</v>
      </c>
      <c r="X426">
        <v>0.08</v>
      </c>
      <c r="Y426">
        <v>0</v>
      </c>
      <c r="Z426">
        <v>32.090000000000003</v>
      </c>
      <c r="AA426">
        <v>12.1</v>
      </c>
      <c r="AB426">
        <v>0</v>
      </c>
      <c r="AC426">
        <v>0</v>
      </c>
      <c r="AD426">
        <v>1</v>
      </c>
      <c r="AE426">
        <v>0</v>
      </c>
      <c r="AF426" t="s">
        <v>160</v>
      </c>
      <c r="AG426">
        <v>0.1</v>
      </c>
      <c r="AH426">
        <v>2</v>
      </c>
      <c r="AI426">
        <v>48373050</v>
      </c>
      <c r="AJ426">
        <v>424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</row>
    <row r="427" spans="1:44">
      <c r="A427">
        <f>ROW(Source!A178)</f>
        <v>178</v>
      </c>
      <c r="B427">
        <v>48373060</v>
      </c>
      <c r="C427">
        <v>48373047</v>
      </c>
      <c r="D427">
        <v>37804145</v>
      </c>
      <c r="E427">
        <v>1</v>
      </c>
      <c r="F427">
        <v>1</v>
      </c>
      <c r="G427">
        <v>1</v>
      </c>
      <c r="H427">
        <v>2</v>
      </c>
      <c r="I427" t="s">
        <v>925</v>
      </c>
      <c r="J427" t="s">
        <v>926</v>
      </c>
      <c r="K427" t="s">
        <v>927</v>
      </c>
      <c r="L427">
        <v>1368</v>
      </c>
      <c r="N427">
        <v>1011</v>
      </c>
      <c r="O427" t="s">
        <v>516</v>
      </c>
      <c r="P427" t="s">
        <v>516</v>
      </c>
      <c r="Q427">
        <v>1</v>
      </c>
      <c r="X427">
        <v>0.26</v>
      </c>
      <c r="Y427">
        <v>0</v>
      </c>
      <c r="Z427">
        <v>0.96</v>
      </c>
      <c r="AA427">
        <v>0</v>
      </c>
      <c r="AB427">
        <v>0</v>
      </c>
      <c r="AC427">
        <v>0</v>
      </c>
      <c r="AD427">
        <v>1</v>
      </c>
      <c r="AE427">
        <v>0</v>
      </c>
      <c r="AF427" t="s">
        <v>160</v>
      </c>
      <c r="AG427">
        <v>0.32500000000000001</v>
      </c>
      <c r="AH427">
        <v>2</v>
      </c>
      <c r="AI427">
        <v>48373051</v>
      </c>
      <c r="AJ427">
        <v>425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</row>
    <row r="428" spans="1:44">
      <c r="A428">
        <f>ROW(Source!A178)</f>
        <v>178</v>
      </c>
      <c r="B428">
        <v>48373061</v>
      </c>
      <c r="C428">
        <v>48373047</v>
      </c>
      <c r="D428">
        <v>37804456</v>
      </c>
      <c r="E428">
        <v>1</v>
      </c>
      <c r="F428">
        <v>1</v>
      </c>
      <c r="G428">
        <v>1</v>
      </c>
      <c r="H428">
        <v>2</v>
      </c>
      <c r="I428" t="s">
        <v>530</v>
      </c>
      <c r="J428" t="s">
        <v>531</v>
      </c>
      <c r="K428" t="s">
        <v>532</v>
      </c>
      <c r="L428">
        <v>1368</v>
      </c>
      <c r="N428">
        <v>1011</v>
      </c>
      <c r="O428" t="s">
        <v>516</v>
      </c>
      <c r="P428" t="s">
        <v>516</v>
      </c>
      <c r="Q428">
        <v>1</v>
      </c>
      <c r="X428">
        <v>0.5</v>
      </c>
      <c r="Y428">
        <v>0</v>
      </c>
      <c r="Z428">
        <v>91.76</v>
      </c>
      <c r="AA428">
        <v>10.35</v>
      </c>
      <c r="AB428">
        <v>0</v>
      </c>
      <c r="AC428">
        <v>0</v>
      </c>
      <c r="AD428">
        <v>1</v>
      </c>
      <c r="AE428">
        <v>0</v>
      </c>
      <c r="AF428" t="s">
        <v>160</v>
      </c>
      <c r="AG428">
        <v>0.625</v>
      </c>
      <c r="AH428">
        <v>2</v>
      </c>
      <c r="AI428">
        <v>48373052</v>
      </c>
      <c r="AJ428">
        <v>426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</row>
    <row r="429" spans="1:44">
      <c r="A429">
        <f>ROW(Source!A178)</f>
        <v>178</v>
      </c>
      <c r="B429">
        <v>48373062</v>
      </c>
      <c r="C429">
        <v>48373047</v>
      </c>
      <c r="D429">
        <v>37729991</v>
      </c>
      <c r="E429">
        <v>1</v>
      </c>
      <c r="F429">
        <v>1</v>
      </c>
      <c r="G429">
        <v>1</v>
      </c>
      <c r="H429">
        <v>3</v>
      </c>
      <c r="I429" t="s">
        <v>625</v>
      </c>
      <c r="J429" t="s">
        <v>626</v>
      </c>
      <c r="K429" t="s">
        <v>627</v>
      </c>
      <c r="L429">
        <v>1346</v>
      </c>
      <c r="N429">
        <v>1009</v>
      </c>
      <c r="O429" t="s">
        <v>172</v>
      </c>
      <c r="P429" t="s">
        <v>172</v>
      </c>
      <c r="Q429">
        <v>1</v>
      </c>
      <c r="X429">
        <v>0.2</v>
      </c>
      <c r="Y429">
        <v>1.82</v>
      </c>
      <c r="Z429">
        <v>0</v>
      </c>
      <c r="AA429">
        <v>0</v>
      </c>
      <c r="AB429">
        <v>0</v>
      </c>
      <c r="AC429">
        <v>0</v>
      </c>
      <c r="AD429">
        <v>1</v>
      </c>
      <c r="AE429">
        <v>0</v>
      </c>
      <c r="AF429" t="s">
        <v>3</v>
      </c>
      <c r="AG429">
        <v>0.2</v>
      </c>
      <c r="AH429">
        <v>2</v>
      </c>
      <c r="AI429">
        <v>48373053</v>
      </c>
      <c r="AJ429">
        <v>427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</row>
    <row r="430" spans="1:44">
      <c r="A430">
        <f>ROW(Source!A178)</f>
        <v>178</v>
      </c>
      <c r="B430">
        <v>48373063</v>
      </c>
      <c r="C430">
        <v>48373047</v>
      </c>
      <c r="D430">
        <v>37731832</v>
      </c>
      <c r="E430">
        <v>1</v>
      </c>
      <c r="F430">
        <v>1</v>
      </c>
      <c r="G430">
        <v>1</v>
      </c>
      <c r="H430">
        <v>3</v>
      </c>
      <c r="I430" t="s">
        <v>400</v>
      </c>
      <c r="J430" t="s">
        <v>403</v>
      </c>
      <c r="K430" t="s">
        <v>401</v>
      </c>
      <c r="L430">
        <v>1329</v>
      </c>
      <c r="N430">
        <v>1005</v>
      </c>
      <c r="O430" t="s">
        <v>402</v>
      </c>
      <c r="P430" t="s">
        <v>402</v>
      </c>
      <c r="Q430">
        <v>1000</v>
      </c>
      <c r="X430">
        <v>0.105</v>
      </c>
      <c r="Y430">
        <v>113054</v>
      </c>
      <c r="Z430">
        <v>0</v>
      </c>
      <c r="AA430">
        <v>0</v>
      </c>
      <c r="AB430">
        <v>0</v>
      </c>
      <c r="AC430">
        <v>0</v>
      </c>
      <c r="AD430">
        <v>1</v>
      </c>
      <c r="AE430">
        <v>0</v>
      </c>
      <c r="AF430" t="s">
        <v>3</v>
      </c>
      <c r="AG430">
        <v>0.105</v>
      </c>
      <c r="AH430">
        <v>2</v>
      </c>
      <c r="AI430">
        <v>48373054</v>
      </c>
      <c r="AJ430">
        <v>428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</row>
    <row r="431" spans="1:44">
      <c r="A431">
        <f>ROW(Source!A178)</f>
        <v>178</v>
      </c>
      <c r="B431">
        <v>48373064</v>
      </c>
      <c r="C431">
        <v>48373047</v>
      </c>
      <c r="D431">
        <v>37731585</v>
      </c>
      <c r="E431">
        <v>1</v>
      </c>
      <c r="F431">
        <v>1</v>
      </c>
      <c r="G431">
        <v>1</v>
      </c>
      <c r="H431">
        <v>3</v>
      </c>
      <c r="I431" t="s">
        <v>928</v>
      </c>
      <c r="J431" t="s">
        <v>929</v>
      </c>
      <c r="K431" t="s">
        <v>930</v>
      </c>
      <c r="L431">
        <v>1346</v>
      </c>
      <c r="N431">
        <v>1009</v>
      </c>
      <c r="O431" t="s">
        <v>172</v>
      </c>
      <c r="P431" t="s">
        <v>172</v>
      </c>
      <c r="Q431">
        <v>1</v>
      </c>
      <c r="X431">
        <v>30</v>
      </c>
      <c r="Y431">
        <v>16.14</v>
      </c>
      <c r="Z431">
        <v>0</v>
      </c>
      <c r="AA431">
        <v>0</v>
      </c>
      <c r="AB431">
        <v>0</v>
      </c>
      <c r="AC431">
        <v>0</v>
      </c>
      <c r="AD431">
        <v>1</v>
      </c>
      <c r="AE431">
        <v>0</v>
      </c>
      <c r="AF431" t="s">
        <v>3</v>
      </c>
      <c r="AG431">
        <v>30</v>
      </c>
      <c r="AH431">
        <v>2</v>
      </c>
      <c r="AI431">
        <v>48373055</v>
      </c>
      <c r="AJ431">
        <v>429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</row>
    <row r="432" spans="1:44">
      <c r="A432">
        <f>ROW(Source!A178)</f>
        <v>178</v>
      </c>
      <c r="B432">
        <v>48373065</v>
      </c>
      <c r="C432">
        <v>48373047</v>
      </c>
      <c r="D432">
        <v>37731525</v>
      </c>
      <c r="E432">
        <v>1</v>
      </c>
      <c r="F432">
        <v>1</v>
      </c>
      <c r="G432">
        <v>1</v>
      </c>
      <c r="H432">
        <v>3</v>
      </c>
      <c r="I432" t="s">
        <v>931</v>
      </c>
      <c r="J432" t="s">
        <v>932</v>
      </c>
      <c r="K432" t="s">
        <v>933</v>
      </c>
      <c r="L432">
        <v>1348</v>
      </c>
      <c r="N432">
        <v>1009</v>
      </c>
      <c r="O432" t="s">
        <v>536</v>
      </c>
      <c r="P432" t="s">
        <v>536</v>
      </c>
      <c r="Q432">
        <v>1000</v>
      </c>
      <c r="X432">
        <v>8.8999999999999999E-3</v>
      </c>
      <c r="Y432">
        <v>6081.08</v>
      </c>
      <c r="Z432">
        <v>0</v>
      </c>
      <c r="AA432">
        <v>0</v>
      </c>
      <c r="AB432">
        <v>0</v>
      </c>
      <c r="AC432">
        <v>0</v>
      </c>
      <c r="AD432">
        <v>1</v>
      </c>
      <c r="AE432">
        <v>0</v>
      </c>
      <c r="AF432" t="s">
        <v>3</v>
      </c>
      <c r="AG432">
        <v>8.8999999999999999E-3</v>
      </c>
      <c r="AH432">
        <v>2</v>
      </c>
      <c r="AI432">
        <v>48373056</v>
      </c>
      <c r="AJ432">
        <v>430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</row>
    <row r="433" spans="1:44">
      <c r="A433">
        <f>ROW(Source!A181)</f>
        <v>181</v>
      </c>
      <c r="B433">
        <v>48373014</v>
      </c>
      <c r="C433">
        <v>48373013</v>
      </c>
      <c r="D433">
        <v>23136905</v>
      </c>
      <c r="E433">
        <v>1</v>
      </c>
      <c r="F433">
        <v>1</v>
      </c>
      <c r="G433">
        <v>1</v>
      </c>
      <c r="H433">
        <v>1</v>
      </c>
      <c r="I433" t="s">
        <v>648</v>
      </c>
      <c r="J433" t="s">
        <v>3</v>
      </c>
      <c r="K433" t="s">
        <v>649</v>
      </c>
      <c r="L433">
        <v>1369</v>
      </c>
      <c r="N433">
        <v>1013</v>
      </c>
      <c r="O433" t="s">
        <v>510</v>
      </c>
      <c r="P433" t="s">
        <v>510</v>
      </c>
      <c r="Q433">
        <v>1</v>
      </c>
      <c r="X433">
        <v>166.47</v>
      </c>
      <c r="Y433">
        <v>0</v>
      </c>
      <c r="Z433">
        <v>0</v>
      </c>
      <c r="AA433">
        <v>0</v>
      </c>
      <c r="AB433">
        <v>8.58</v>
      </c>
      <c r="AC433">
        <v>0</v>
      </c>
      <c r="AD433">
        <v>1</v>
      </c>
      <c r="AE433">
        <v>1</v>
      </c>
      <c r="AF433" t="s">
        <v>161</v>
      </c>
      <c r="AG433">
        <v>191.44049999999999</v>
      </c>
      <c r="AH433">
        <v>2</v>
      </c>
      <c r="AI433">
        <v>48373014</v>
      </c>
      <c r="AJ433">
        <v>431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</row>
    <row r="434" spans="1:44">
      <c r="A434">
        <f>ROW(Source!A181)</f>
        <v>181</v>
      </c>
      <c r="B434">
        <v>48373015</v>
      </c>
      <c r="C434">
        <v>48373013</v>
      </c>
      <c r="D434">
        <v>121548</v>
      </c>
      <c r="E434">
        <v>1</v>
      </c>
      <c r="F434">
        <v>1</v>
      </c>
      <c r="G434">
        <v>1</v>
      </c>
      <c r="H434">
        <v>1</v>
      </c>
      <c r="I434" t="s">
        <v>24</v>
      </c>
      <c r="J434" t="s">
        <v>3</v>
      </c>
      <c r="K434" t="s">
        <v>511</v>
      </c>
      <c r="L434">
        <v>608254</v>
      </c>
      <c r="N434">
        <v>1013</v>
      </c>
      <c r="O434" t="s">
        <v>512</v>
      </c>
      <c r="P434" t="s">
        <v>512</v>
      </c>
      <c r="Q434">
        <v>1</v>
      </c>
      <c r="X434">
        <v>0.08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1</v>
      </c>
      <c r="AE434">
        <v>2</v>
      </c>
      <c r="AF434" t="s">
        <v>160</v>
      </c>
      <c r="AG434">
        <v>0.1</v>
      </c>
      <c r="AH434">
        <v>2</v>
      </c>
      <c r="AI434">
        <v>48373015</v>
      </c>
      <c r="AJ434">
        <v>432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</row>
    <row r="435" spans="1:44">
      <c r="A435">
        <f>ROW(Source!A181)</f>
        <v>181</v>
      </c>
      <c r="B435">
        <v>48373016</v>
      </c>
      <c r="C435">
        <v>48373013</v>
      </c>
      <c r="D435">
        <v>37802578</v>
      </c>
      <c r="E435">
        <v>1</v>
      </c>
      <c r="F435">
        <v>1</v>
      </c>
      <c r="G435">
        <v>1</v>
      </c>
      <c r="H435">
        <v>2</v>
      </c>
      <c r="I435" t="s">
        <v>550</v>
      </c>
      <c r="J435" t="s">
        <v>551</v>
      </c>
      <c r="K435" t="s">
        <v>552</v>
      </c>
      <c r="L435">
        <v>1368</v>
      </c>
      <c r="N435">
        <v>1011</v>
      </c>
      <c r="O435" t="s">
        <v>516</v>
      </c>
      <c r="P435" t="s">
        <v>516</v>
      </c>
      <c r="Q435">
        <v>1</v>
      </c>
      <c r="X435">
        <v>0.08</v>
      </c>
      <c r="Y435">
        <v>0</v>
      </c>
      <c r="Z435">
        <v>32.090000000000003</v>
      </c>
      <c r="AA435">
        <v>12.1</v>
      </c>
      <c r="AB435">
        <v>0</v>
      </c>
      <c r="AC435">
        <v>0</v>
      </c>
      <c r="AD435">
        <v>1</v>
      </c>
      <c r="AE435">
        <v>0</v>
      </c>
      <c r="AF435" t="s">
        <v>160</v>
      </c>
      <c r="AG435">
        <v>0.1</v>
      </c>
      <c r="AH435">
        <v>2</v>
      </c>
      <c r="AI435">
        <v>48373016</v>
      </c>
      <c r="AJ435">
        <v>433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</row>
    <row r="436" spans="1:44">
      <c r="A436">
        <f>ROW(Source!A181)</f>
        <v>181</v>
      </c>
      <c r="B436">
        <v>48373017</v>
      </c>
      <c r="C436">
        <v>48373013</v>
      </c>
      <c r="D436">
        <v>37804145</v>
      </c>
      <c r="E436">
        <v>1</v>
      </c>
      <c r="F436">
        <v>1</v>
      </c>
      <c r="G436">
        <v>1</v>
      </c>
      <c r="H436">
        <v>2</v>
      </c>
      <c r="I436" t="s">
        <v>925</v>
      </c>
      <c r="J436" t="s">
        <v>926</v>
      </c>
      <c r="K436" t="s">
        <v>927</v>
      </c>
      <c r="L436">
        <v>1368</v>
      </c>
      <c r="N436">
        <v>1011</v>
      </c>
      <c r="O436" t="s">
        <v>516</v>
      </c>
      <c r="P436" t="s">
        <v>516</v>
      </c>
      <c r="Q436">
        <v>1</v>
      </c>
      <c r="X436">
        <v>0.26</v>
      </c>
      <c r="Y436">
        <v>0</v>
      </c>
      <c r="Z436">
        <v>0.96</v>
      </c>
      <c r="AA436">
        <v>0</v>
      </c>
      <c r="AB436">
        <v>0</v>
      </c>
      <c r="AC436">
        <v>0</v>
      </c>
      <c r="AD436">
        <v>1</v>
      </c>
      <c r="AE436">
        <v>0</v>
      </c>
      <c r="AF436" t="s">
        <v>160</v>
      </c>
      <c r="AG436">
        <v>0.32500000000000001</v>
      </c>
      <c r="AH436">
        <v>2</v>
      </c>
      <c r="AI436">
        <v>48373017</v>
      </c>
      <c r="AJ436">
        <v>434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</row>
    <row r="437" spans="1:44">
      <c r="A437">
        <f>ROW(Source!A181)</f>
        <v>181</v>
      </c>
      <c r="B437">
        <v>48373018</v>
      </c>
      <c r="C437">
        <v>48373013</v>
      </c>
      <c r="D437">
        <v>37804456</v>
      </c>
      <c r="E437">
        <v>1</v>
      </c>
      <c r="F437">
        <v>1</v>
      </c>
      <c r="G437">
        <v>1</v>
      </c>
      <c r="H437">
        <v>2</v>
      </c>
      <c r="I437" t="s">
        <v>530</v>
      </c>
      <c r="J437" t="s">
        <v>531</v>
      </c>
      <c r="K437" t="s">
        <v>532</v>
      </c>
      <c r="L437">
        <v>1368</v>
      </c>
      <c r="N437">
        <v>1011</v>
      </c>
      <c r="O437" t="s">
        <v>516</v>
      </c>
      <c r="P437" t="s">
        <v>516</v>
      </c>
      <c r="Q437">
        <v>1</v>
      </c>
      <c r="X437">
        <v>0.5</v>
      </c>
      <c r="Y437">
        <v>0</v>
      </c>
      <c r="Z437">
        <v>91.76</v>
      </c>
      <c r="AA437">
        <v>10.35</v>
      </c>
      <c r="AB437">
        <v>0</v>
      </c>
      <c r="AC437">
        <v>0</v>
      </c>
      <c r="AD437">
        <v>1</v>
      </c>
      <c r="AE437">
        <v>0</v>
      </c>
      <c r="AF437" t="s">
        <v>160</v>
      </c>
      <c r="AG437">
        <v>0.625</v>
      </c>
      <c r="AH437">
        <v>2</v>
      </c>
      <c r="AI437">
        <v>48373018</v>
      </c>
      <c r="AJ437">
        <v>435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</row>
    <row r="438" spans="1:44">
      <c r="A438">
        <f>ROW(Source!A181)</f>
        <v>181</v>
      </c>
      <c r="B438">
        <v>48373019</v>
      </c>
      <c r="C438">
        <v>48373013</v>
      </c>
      <c r="D438">
        <v>37729991</v>
      </c>
      <c r="E438">
        <v>1</v>
      </c>
      <c r="F438">
        <v>1</v>
      </c>
      <c r="G438">
        <v>1</v>
      </c>
      <c r="H438">
        <v>3</v>
      </c>
      <c r="I438" t="s">
        <v>625</v>
      </c>
      <c r="J438" t="s">
        <v>626</v>
      </c>
      <c r="K438" t="s">
        <v>627</v>
      </c>
      <c r="L438">
        <v>1346</v>
      </c>
      <c r="N438">
        <v>1009</v>
      </c>
      <c r="O438" t="s">
        <v>172</v>
      </c>
      <c r="P438" t="s">
        <v>172</v>
      </c>
      <c r="Q438">
        <v>1</v>
      </c>
      <c r="X438">
        <v>0.2</v>
      </c>
      <c r="Y438">
        <v>1.82</v>
      </c>
      <c r="Z438">
        <v>0</v>
      </c>
      <c r="AA438">
        <v>0</v>
      </c>
      <c r="AB438">
        <v>0</v>
      </c>
      <c r="AC438">
        <v>0</v>
      </c>
      <c r="AD438">
        <v>1</v>
      </c>
      <c r="AE438">
        <v>0</v>
      </c>
      <c r="AF438" t="s">
        <v>3</v>
      </c>
      <c r="AG438">
        <v>0.2</v>
      </c>
      <c r="AH438">
        <v>2</v>
      </c>
      <c r="AI438">
        <v>48373019</v>
      </c>
      <c r="AJ438">
        <v>436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</row>
    <row r="439" spans="1:44">
      <c r="A439">
        <f>ROW(Source!A181)</f>
        <v>181</v>
      </c>
      <c r="B439">
        <v>48373020</v>
      </c>
      <c r="C439">
        <v>48373013</v>
      </c>
      <c r="D439">
        <v>37731832</v>
      </c>
      <c r="E439">
        <v>1</v>
      </c>
      <c r="F439">
        <v>1</v>
      </c>
      <c r="G439">
        <v>1</v>
      </c>
      <c r="H439">
        <v>3</v>
      </c>
      <c r="I439" t="s">
        <v>400</v>
      </c>
      <c r="J439" t="s">
        <v>403</v>
      </c>
      <c r="K439" t="s">
        <v>401</v>
      </c>
      <c r="L439">
        <v>1329</v>
      </c>
      <c r="N439">
        <v>1005</v>
      </c>
      <c r="O439" t="s">
        <v>402</v>
      </c>
      <c r="P439" t="s">
        <v>402</v>
      </c>
      <c r="Q439">
        <v>1000</v>
      </c>
      <c r="X439">
        <v>0.105</v>
      </c>
      <c r="Y439">
        <v>113054</v>
      </c>
      <c r="Z439">
        <v>0</v>
      </c>
      <c r="AA439">
        <v>0</v>
      </c>
      <c r="AB439">
        <v>0</v>
      </c>
      <c r="AC439">
        <v>0</v>
      </c>
      <c r="AD439">
        <v>1</v>
      </c>
      <c r="AE439">
        <v>0</v>
      </c>
      <c r="AF439" t="s">
        <v>3</v>
      </c>
      <c r="AG439">
        <v>0.105</v>
      </c>
      <c r="AH439">
        <v>2</v>
      </c>
      <c r="AI439">
        <v>48373020</v>
      </c>
      <c r="AJ439">
        <v>437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</row>
    <row r="440" spans="1:44">
      <c r="A440">
        <f>ROW(Source!A181)</f>
        <v>181</v>
      </c>
      <c r="B440">
        <v>48373021</v>
      </c>
      <c r="C440">
        <v>48373013</v>
      </c>
      <c r="D440">
        <v>37731585</v>
      </c>
      <c r="E440">
        <v>1</v>
      </c>
      <c r="F440">
        <v>1</v>
      </c>
      <c r="G440">
        <v>1</v>
      </c>
      <c r="H440">
        <v>3</v>
      </c>
      <c r="I440" t="s">
        <v>928</v>
      </c>
      <c r="J440" t="s">
        <v>929</v>
      </c>
      <c r="K440" t="s">
        <v>930</v>
      </c>
      <c r="L440">
        <v>1346</v>
      </c>
      <c r="N440">
        <v>1009</v>
      </c>
      <c r="O440" t="s">
        <v>172</v>
      </c>
      <c r="P440" t="s">
        <v>172</v>
      </c>
      <c r="Q440">
        <v>1</v>
      </c>
      <c r="X440">
        <v>30</v>
      </c>
      <c r="Y440">
        <v>16.14</v>
      </c>
      <c r="Z440">
        <v>0</v>
      </c>
      <c r="AA440">
        <v>0</v>
      </c>
      <c r="AB440">
        <v>0</v>
      </c>
      <c r="AC440">
        <v>0</v>
      </c>
      <c r="AD440">
        <v>1</v>
      </c>
      <c r="AE440">
        <v>0</v>
      </c>
      <c r="AF440" t="s">
        <v>3</v>
      </c>
      <c r="AG440">
        <v>30</v>
      </c>
      <c r="AH440">
        <v>2</v>
      </c>
      <c r="AI440">
        <v>48373021</v>
      </c>
      <c r="AJ440">
        <v>438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</row>
    <row r="441" spans="1:44">
      <c r="A441">
        <f>ROW(Source!A181)</f>
        <v>181</v>
      </c>
      <c r="B441">
        <v>48373022</v>
      </c>
      <c r="C441">
        <v>48373013</v>
      </c>
      <c r="D441">
        <v>37731525</v>
      </c>
      <c r="E441">
        <v>1</v>
      </c>
      <c r="F441">
        <v>1</v>
      </c>
      <c r="G441">
        <v>1</v>
      </c>
      <c r="H441">
        <v>3</v>
      </c>
      <c r="I441" t="s">
        <v>931</v>
      </c>
      <c r="J441" t="s">
        <v>932</v>
      </c>
      <c r="K441" t="s">
        <v>933</v>
      </c>
      <c r="L441">
        <v>1348</v>
      </c>
      <c r="N441">
        <v>1009</v>
      </c>
      <c r="O441" t="s">
        <v>536</v>
      </c>
      <c r="P441" t="s">
        <v>536</v>
      </c>
      <c r="Q441">
        <v>1000</v>
      </c>
      <c r="X441">
        <v>8.8999999999999999E-3</v>
      </c>
      <c r="Y441">
        <v>6081.08</v>
      </c>
      <c r="Z441">
        <v>0</v>
      </c>
      <c r="AA441">
        <v>0</v>
      </c>
      <c r="AB441">
        <v>0</v>
      </c>
      <c r="AC441">
        <v>0</v>
      </c>
      <c r="AD441">
        <v>1</v>
      </c>
      <c r="AE441">
        <v>0</v>
      </c>
      <c r="AF441" t="s">
        <v>3</v>
      </c>
      <c r="AG441">
        <v>8.8999999999999999E-3</v>
      </c>
      <c r="AH441">
        <v>2</v>
      </c>
      <c r="AI441">
        <v>48373022</v>
      </c>
      <c r="AJ441">
        <v>439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</row>
    <row r="442" spans="1:44">
      <c r="A442">
        <f>ROW(Source!A184)</f>
        <v>184</v>
      </c>
      <c r="B442">
        <v>48373036</v>
      </c>
      <c r="C442">
        <v>48373024</v>
      </c>
      <c r="D442">
        <v>23134047</v>
      </c>
      <c r="E442">
        <v>1</v>
      </c>
      <c r="F442">
        <v>1</v>
      </c>
      <c r="G442">
        <v>1</v>
      </c>
      <c r="H442">
        <v>1</v>
      </c>
      <c r="I442" t="s">
        <v>522</v>
      </c>
      <c r="J442" t="s">
        <v>3</v>
      </c>
      <c r="K442" t="s">
        <v>523</v>
      </c>
      <c r="L442">
        <v>1369</v>
      </c>
      <c r="N442">
        <v>1013</v>
      </c>
      <c r="O442" t="s">
        <v>510</v>
      </c>
      <c r="P442" t="s">
        <v>510</v>
      </c>
      <c r="Q442">
        <v>1</v>
      </c>
      <c r="X442">
        <v>165.88</v>
      </c>
      <c r="Y442">
        <v>0</v>
      </c>
      <c r="Z442">
        <v>0</v>
      </c>
      <c r="AA442">
        <v>0</v>
      </c>
      <c r="AB442">
        <v>8.07</v>
      </c>
      <c r="AC442">
        <v>0</v>
      </c>
      <c r="AD442">
        <v>1</v>
      </c>
      <c r="AE442">
        <v>1</v>
      </c>
      <c r="AF442" t="s">
        <v>3</v>
      </c>
      <c r="AG442">
        <v>165.88</v>
      </c>
      <c r="AH442">
        <v>2</v>
      </c>
      <c r="AI442">
        <v>48373025</v>
      </c>
      <c r="AJ442">
        <v>440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</row>
    <row r="443" spans="1:44">
      <c r="A443">
        <f>ROW(Source!A184)</f>
        <v>184</v>
      </c>
      <c r="B443">
        <v>48373037</v>
      </c>
      <c r="C443">
        <v>48373024</v>
      </c>
      <c r="D443">
        <v>121548</v>
      </c>
      <c r="E443">
        <v>1</v>
      </c>
      <c r="F443">
        <v>1</v>
      </c>
      <c r="G443">
        <v>1</v>
      </c>
      <c r="H443">
        <v>1</v>
      </c>
      <c r="I443" t="s">
        <v>24</v>
      </c>
      <c r="J443" t="s">
        <v>3</v>
      </c>
      <c r="K443" t="s">
        <v>511</v>
      </c>
      <c r="L443">
        <v>608254</v>
      </c>
      <c r="N443">
        <v>1013</v>
      </c>
      <c r="O443" t="s">
        <v>512</v>
      </c>
      <c r="P443" t="s">
        <v>512</v>
      </c>
      <c r="Q443">
        <v>1</v>
      </c>
      <c r="X443">
        <v>0.47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1</v>
      </c>
      <c r="AE443">
        <v>2</v>
      </c>
      <c r="AF443" t="s">
        <v>3</v>
      </c>
      <c r="AG443">
        <v>0.47</v>
      </c>
      <c r="AH443">
        <v>2</v>
      </c>
      <c r="AI443">
        <v>48373026</v>
      </c>
      <c r="AJ443">
        <v>441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</row>
    <row r="444" spans="1:44">
      <c r="A444">
        <f>ROW(Source!A184)</f>
        <v>184</v>
      </c>
      <c r="B444">
        <v>48373038</v>
      </c>
      <c r="C444">
        <v>48373024</v>
      </c>
      <c r="D444">
        <v>37802541</v>
      </c>
      <c r="E444">
        <v>1</v>
      </c>
      <c r="F444">
        <v>1</v>
      </c>
      <c r="G444">
        <v>1</v>
      </c>
      <c r="H444">
        <v>2</v>
      </c>
      <c r="I444" t="s">
        <v>524</v>
      </c>
      <c r="J444" t="s">
        <v>525</v>
      </c>
      <c r="K444" t="s">
        <v>526</v>
      </c>
      <c r="L444">
        <v>1368</v>
      </c>
      <c r="N444">
        <v>1011</v>
      </c>
      <c r="O444" t="s">
        <v>516</v>
      </c>
      <c r="P444" t="s">
        <v>516</v>
      </c>
      <c r="Q444">
        <v>1</v>
      </c>
      <c r="X444">
        <v>0.16</v>
      </c>
      <c r="Y444">
        <v>0</v>
      </c>
      <c r="Z444">
        <v>1.85</v>
      </c>
      <c r="AA444">
        <v>0</v>
      </c>
      <c r="AB444">
        <v>0</v>
      </c>
      <c r="AC444">
        <v>0</v>
      </c>
      <c r="AD444">
        <v>1</v>
      </c>
      <c r="AE444">
        <v>0</v>
      </c>
      <c r="AF444" t="s">
        <v>3</v>
      </c>
      <c r="AG444">
        <v>0.16</v>
      </c>
      <c r="AH444">
        <v>2</v>
      </c>
      <c r="AI444">
        <v>48373027</v>
      </c>
      <c r="AJ444">
        <v>442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</row>
    <row r="445" spans="1:44">
      <c r="A445">
        <f>ROW(Source!A184)</f>
        <v>184</v>
      </c>
      <c r="B445">
        <v>48373039</v>
      </c>
      <c r="C445">
        <v>48373024</v>
      </c>
      <c r="D445">
        <v>37802657</v>
      </c>
      <c r="E445">
        <v>1</v>
      </c>
      <c r="F445">
        <v>1</v>
      </c>
      <c r="G445">
        <v>1</v>
      </c>
      <c r="H445">
        <v>2</v>
      </c>
      <c r="I445" t="s">
        <v>527</v>
      </c>
      <c r="J445" t="s">
        <v>528</v>
      </c>
      <c r="K445" t="s">
        <v>529</v>
      </c>
      <c r="L445">
        <v>1368</v>
      </c>
      <c r="N445">
        <v>1011</v>
      </c>
      <c r="O445" t="s">
        <v>516</v>
      </c>
      <c r="P445" t="s">
        <v>516</v>
      </c>
      <c r="Q445">
        <v>1</v>
      </c>
      <c r="X445">
        <v>0.74</v>
      </c>
      <c r="Y445">
        <v>0</v>
      </c>
      <c r="Z445">
        <v>7.55</v>
      </c>
      <c r="AA445">
        <v>0</v>
      </c>
      <c r="AB445">
        <v>0</v>
      </c>
      <c r="AC445">
        <v>0</v>
      </c>
      <c r="AD445">
        <v>1</v>
      </c>
      <c r="AE445">
        <v>0</v>
      </c>
      <c r="AF445" t="s">
        <v>3</v>
      </c>
      <c r="AG445">
        <v>0.74</v>
      </c>
      <c r="AH445">
        <v>2</v>
      </c>
      <c r="AI445">
        <v>48373028</v>
      </c>
      <c r="AJ445">
        <v>443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</row>
    <row r="446" spans="1:44">
      <c r="A446">
        <f>ROW(Source!A184)</f>
        <v>184</v>
      </c>
      <c r="B446">
        <v>48373040</v>
      </c>
      <c r="C446">
        <v>48373024</v>
      </c>
      <c r="D446">
        <v>37802699</v>
      </c>
      <c r="E446">
        <v>1</v>
      </c>
      <c r="F446">
        <v>1</v>
      </c>
      <c r="G446">
        <v>1</v>
      </c>
      <c r="H446">
        <v>2</v>
      </c>
      <c r="I446" t="s">
        <v>513</v>
      </c>
      <c r="J446" t="s">
        <v>514</v>
      </c>
      <c r="K446" t="s">
        <v>515</v>
      </c>
      <c r="L446">
        <v>1368</v>
      </c>
      <c r="N446">
        <v>1011</v>
      </c>
      <c r="O446" t="s">
        <v>516</v>
      </c>
      <c r="P446" t="s">
        <v>516</v>
      </c>
      <c r="Q446">
        <v>1</v>
      </c>
      <c r="X446">
        <v>0.47</v>
      </c>
      <c r="Y446">
        <v>0</v>
      </c>
      <c r="Z446">
        <v>59.38</v>
      </c>
      <c r="AA446">
        <v>9</v>
      </c>
      <c r="AB446">
        <v>0</v>
      </c>
      <c r="AC446">
        <v>0</v>
      </c>
      <c r="AD446">
        <v>1</v>
      </c>
      <c r="AE446">
        <v>0</v>
      </c>
      <c r="AF446" t="s">
        <v>3</v>
      </c>
      <c r="AG446">
        <v>0.47</v>
      </c>
      <c r="AH446">
        <v>2</v>
      </c>
      <c r="AI446">
        <v>48373029</v>
      </c>
      <c r="AJ446">
        <v>444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</row>
    <row r="447" spans="1:44">
      <c r="A447">
        <f>ROW(Source!A184)</f>
        <v>184</v>
      </c>
      <c r="B447">
        <v>48373041</v>
      </c>
      <c r="C447">
        <v>48373024</v>
      </c>
      <c r="D447">
        <v>37804095</v>
      </c>
      <c r="E447">
        <v>1</v>
      </c>
      <c r="F447">
        <v>1</v>
      </c>
      <c r="G447">
        <v>1</v>
      </c>
      <c r="H447">
        <v>2</v>
      </c>
      <c r="I447" t="s">
        <v>517</v>
      </c>
      <c r="J447" t="s">
        <v>518</v>
      </c>
      <c r="K447" t="s">
        <v>519</v>
      </c>
      <c r="L447">
        <v>1368</v>
      </c>
      <c r="N447">
        <v>1011</v>
      </c>
      <c r="O447" t="s">
        <v>516</v>
      </c>
      <c r="P447" t="s">
        <v>516</v>
      </c>
      <c r="Q447">
        <v>1</v>
      </c>
      <c r="X447">
        <v>0.92</v>
      </c>
      <c r="Y447">
        <v>0</v>
      </c>
      <c r="Z447">
        <v>1.69</v>
      </c>
      <c r="AA447">
        <v>0</v>
      </c>
      <c r="AB447">
        <v>0</v>
      </c>
      <c r="AC447">
        <v>0</v>
      </c>
      <c r="AD447">
        <v>1</v>
      </c>
      <c r="AE447">
        <v>0</v>
      </c>
      <c r="AF447" t="s">
        <v>3</v>
      </c>
      <c r="AG447">
        <v>0.92</v>
      </c>
      <c r="AH447">
        <v>2</v>
      </c>
      <c r="AI447">
        <v>48373030</v>
      </c>
      <c r="AJ447">
        <v>445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</row>
    <row r="448" spans="1:44">
      <c r="A448">
        <f>ROW(Source!A184)</f>
        <v>184</v>
      </c>
      <c r="B448">
        <v>48373042</v>
      </c>
      <c r="C448">
        <v>48373024</v>
      </c>
      <c r="D448">
        <v>37804456</v>
      </c>
      <c r="E448">
        <v>1</v>
      </c>
      <c r="F448">
        <v>1</v>
      </c>
      <c r="G448">
        <v>1</v>
      </c>
      <c r="H448">
        <v>2</v>
      </c>
      <c r="I448" t="s">
        <v>530</v>
      </c>
      <c r="J448" t="s">
        <v>531</v>
      </c>
      <c r="K448" t="s">
        <v>532</v>
      </c>
      <c r="L448">
        <v>1368</v>
      </c>
      <c r="N448">
        <v>1011</v>
      </c>
      <c r="O448" t="s">
        <v>516</v>
      </c>
      <c r="P448" t="s">
        <v>516</v>
      </c>
      <c r="Q448">
        <v>1</v>
      </c>
      <c r="X448">
        <v>0.2</v>
      </c>
      <c r="Y448">
        <v>0</v>
      </c>
      <c r="Z448">
        <v>91.76</v>
      </c>
      <c r="AA448">
        <v>10.35</v>
      </c>
      <c r="AB448">
        <v>0</v>
      </c>
      <c r="AC448">
        <v>0</v>
      </c>
      <c r="AD448">
        <v>1</v>
      </c>
      <c r="AE448">
        <v>0</v>
      </c>
      <c r="AF448" t="s">
        <v>3</v>
      </c>
      <c r="AG448">
        <v>0.2</v>
      </c>
      <c r="AH448">
        <v>2</v>
      </c>
      <c r="AI448">
        <v>48373031</v>
      </c>
      <c r="AJ448">
        <v>446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</row>
    <row r="449" spans="1:44">
      <c r="A449">
        <f>ROW(Source!A184)</f>
        <v>184</v>
      </c>
      <c r="B449">
        <v>48373043</v>
      </c>
      <c r="C449">
        <v>48373024</v>
      </c>
      <c r="D449">
        <v>37736612</v>
      </c>
      <c r="E449">
        <v>1</v>
      </c>
      <c r="F449">
        <v>1</v>
      </c>
      <c r="G449">
        <v>1</v>
      </c>
      <c r="H449">
        <v>3</v>
      </c>
      <c r="I449" t="s">
        <v>533</v>
      </c>
      <c r="J449" t="s">
        <v>534</v>
      </c>
      <c r="K449" t="s">
        <v>535</v>
      </c>
      <c r="L449">
        <v>1348</v>
      </c>
      <c r="N449">
        <v>1009</v>
      </c>
      <c r="O449" t="s">
        <v>536</v>
      </c>
      <c r="P449" t="s">
        <v>536</v>
      </c>
      <c r="Q449">
        <v>1000</v>
      </c>
      <c r="X449">
        <v>8.9999999999999993E-3</v>
      </c>
      <c r="Y449">
        <v>9424</v>
      </c>
      <c r="Z449">
        <v>0</v>
      </c>
      <c r="AA449">
        <v>0</v>
      </c>
      <c r="AB449">
        <v>0</v>
      </c>
      <c r="AC449">
        <v>0</v>
      </c>
      <c r="AD449">
        <v>1</v>
      </c>
      <c r="AE449">
        <v>0</v>
      </c>
      <c r="AF449" t="s">
        <v>3</v>
      </c>
      <c r="AG449">
        <v>8.9999999999999993E-3</v>
      </c>
      <c r="AH449">
        <v>2</v>
      </c>
      <c r="AI449">
        <v>48373032</v>
      </c>
      <c r="AJ449">
        <v>447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</row>
    <row r="450" spans="1:44">
      <c r="A450">
        <f>ROW(Source!A184)</f>
        <v>184</v>
      </c>
      <c r="B450">
        <v>48373044</v>
      </c>
      <c r="C450">
        <v>48373024</v>
      </c>
      <c r="D450">
        <v>37751313</v>
      </c>
      <c r="E450">
        <v>1</v>
      </c>
      <c r="F450">
        <v>1</v>
      </c>
      <c r="G450">
        <v>1</v>
      </c>
      <c r="H450">
        <v>3</v>
      </c>
      <c r="I450" t="s">
        <v>537</v>
      </c>
      <c r="J450" t="s">
        <v>538</v>
      </c>
      <c r="K450" t="s">
        <v>539</v>
      </c>
      <c r="L450">
        <v>1348</v>
      </c>
      <c r="N450">
        <v>1009</v>
      </c>
      <c r="O450" t="s">
        <v>536</v>
      </c>
      <c r="P450" t="s">
        <v>536</v>
      </c>
      <c r="Q450">
        <v>1000</v>
      </c>
      <c r="X450">
        <v>1.04</v>
      </c>
      <c r="Y450">
        <v>8128</v>
      </c>
      <c r="Z450">
        <v>0</v>
      </c>
      <c r="AA450">
        <v>0</v>
      </c>
      <c r="AB450">
        <v>0</v>
      </c>
      <c r="AC450">
        <v>0</v>
      </c>
      <c r="AD450">
        <v>1</v>
      </c>
      <c r="AE450">
        <v>0</v>
      </c>
      <c r="AF450" t="s">
        <v>3</v>
      </c>
      <c r="AG450">
        <v>1.04</v>
      </c>
      <c r="AH450">
        <v>2</v>
      </c>
      <c r="AI450">
        <v>48373033</v>
      </c>
      <c r="AJ450">
        <v>448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</row>
    <row r="451" spans="1:44">
      <c r="A451">
        <f>ROW(Source!A184)</f>
        <v>184</v>
      </c>
      <c r="B451">
        <v>48373045</v>
      </c>
      <c r="C451">
        <v>48373024</v>
      </c>
      <c r="D451">
        <v>37768012</v>
      </c>
      <c r="E451">
        <v>1</v>
      </c>
      <c r="F451">
        <v>1</v>
      </c>
      <c r="G451">
        <v>1</v>
      </c>
      <c r="H451">
        <v>3</v>
      </c>
      <c r="I451" t="s">
        <v>540</v>
      </c>
      <c r="J451" t="s">
        <v>541</v>
      </c>
      <c r="K451" t="s">
        <v>542</v>
      </c>
      <c r="L451">
        <v>1339</v>
      </c>
      <c r="N451">
        <v>1007</v>
      </c>
      <c r="O451" t="s">
        <v>543</v>
      </c>
      <c r="P451" t="s">
        <v>543</v>
      </c>
      <c r="Q451">
        <v>1</v>
      </c>
      <c r="X451">
        <v>0.54</v>
      </c>
      <c r="Y451">
        <v>318</v>
      </c>
      <c r="Z451">
        <v>0</v>
      </c>
      <c r="AA451">
        <v>0</v>
      </c>
      <c r="AB451">
        <v>0</v>
      </c>
      <c r="AC451">
        <v>0</v>
      </c>
      <c r="AD451">
        <v>1</v>
      </c>
      <c r="AE451">
        <v>0</v>
      </c>
      <c r="AF451" t="s">
        <v>3</v>
      </c>
      <c r="AG451">
        <v>0.54</v>
      </c>
      <c r="AH451">
        <v>2</v>
      </c>
      <c r="AI451">
        <v>48373034</v>
      </c>
      <c r="AJ451">
        <v>449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</row>
    <row r="452" spans="1:44">
      <c r="A452">
        <f>ROW(Source!A184)</f>
        <v>184</v>
      </c>
      <c r="B452">
        <v>48373046</v>
      </c>
      <c r="C452">
        <v>48373024</v>
      </c>
      <c r="D452">
        <v>37776723</v>
      </c>
      <c r="E452">
        <v>1</v>
      </c>
      <c r="F452">
        <v>1</v>
      </c>
      <c r="G452">
        <v>1</v>
      </c>
      <c r="H452">
        <v>3</v>
      </c>
      <c r="I452" t="s">
        <v>544</v>
      </c>
      <c r="J452" t="s">
        <v>545</v>
      </c>
      <c r="K452" t="s">
        <v>546</v>
      </c>
      <c r="L452">
        <v>1356</v>
      </c>
      <c r="N452">
        <v>1010</v>
      </c>
      <c r="O452" t="s">
        <v>547</v>
      </c>
      <c r="P452" t="s">
        <v>547</v>
      </c>
      <c r="Q452">
        <v>1000</v>
      </c>
      <c r="X452">
        <v>0.56999999999999995</v>
      </c>
      <c r="Y452">
        <v>794</v>
      </c>
      <c r="Z452">
        <v>0</v>
      </c>
      <c r="AA452">
        <v>0</v>
      </c>
      <c r="AB452">
        <v>0</v>
      </c>
      <c r="AC452">
        <v>0</v>
      </c>
      <c r="AD452">
        <v>1</v>
      </c>
      <c r="AE452">
        <v>0</v>
      </c>
      <c r="AF452" t="s">
        <v>3</v>
      </c>
      <c r="AG452">
        <v>0.56999999999999995</v>
      </c>
      <c r="AH452">
        <v>2</v>
      </c>
      <c r="AI452">
        <v>48373035</v>
      </c>
      <c r="AJ452">
        <v>450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</row>
    <row r="453" spans="1:44">
      <c r="A453">
        <f>ROW(Source!A185)</f>
        <v>185</v>
      </c>
      <c r="B453">
        <v>48373211</v>
      </c>
      <c r="C453">
        <v>48373210</v>
      </c>
      <c r="D453">
        <v>23131263</v>
      </c>
      <c r="E453">
        <v>1</v>
      </c>
      <c r="F453">
        <v>1</v>
      </c>
      <c r="G453">
        <v>1</v>
      </c>
      <c r="H453">
        <v>1</v>
      </c>
      <c r="I453" t="s">
        <v>799</v>
      </c>
      <c r="J453" t="s">
        <v>3</v>
      </c>
      <c r="K453" t="s">
        <v>800</v>
      </c>
      <c r="L453">
        <v>1369</v>
      </c>
      <c r="N453">
        <v>1013</v>
      </c>
      <c r="O453" t="s">
        <v>510</v>
      </c>
      <c r="P453" t="s">
        <v>510</v>
      </c>
      <c r="Q453">
        <v>1</v>
      </c>
      <c r="X453">
        <v>14.63</v>
      </c>
      <c r="Y453">
        <v>0</v>
      </c>
      <c r="Z453">
        <v>0</v>
      </c>
      <c r="AA453">
        <v>0</v>
      </c>
      <c r="AB453">
        <v>7.63</v>
      </c>
      <c r="AC453">
        <v>0</v>
      </c>
      <c r="AD453">
        <v>1</v>
      </c>
      <c r="AE453">
        <v>1</v>
      </c>
      <c r="AF453" t="s">
        <v>3</v>
      </c>
      <c r="AG453">
        <v>14.63</v>
      </c>
      <c r="AH453">
        <v>2</v>
      </c>
      <c r="AI453">
        <v>48373211</v>
      </c>
      <c r="AJ453">
        <v>451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</row>
    <row r="454" spans="1:44">
      <c r="A454">
        <f>ROW(Source!A185)</f>
        <v>185</v>
      </c>
      <c r="B454">
        <v>48373212</v>
      </c>
      <c r="C454">
        <v>48373210</v>
      </c>
      <c r="D454">
        <v>37802543</v>
      </c>
      <c r="E454">
        <v>1</v>
      </c>
      <c r="F454">
        <v>1</v>
      </c>
      <c r="G454">
        <v>1</v>
      </c>
      <c r="H454">
        <v>2</v>
      </c>
      <c r="I454" t="s">
        <v>934</v>
      </c>
      <c r="J454" t="s">
        <v>935</v>
      </c>
      <c r="K454" t="s">
        <v>936</v>
      </c>
      <c r="L454">
        <v>1368</v>
      </c>
      <c r="N454">
        <v>1011</v>
      </c>
      <c r="O454" t="s">
        <v>516</v>
      </c>
      <c r="P454" t="s">
        <v>516</v>
      </c>
      <c r="Q454">
        <v>1</v>
      </c>
      <c r="X454">
        <v>0.32</v>
      </c>
      <c r="Y454">
        <v>0</v>
      </c>
      <c r="Z454">
        <v>6.9</v>
      </c>
      <c r="AA454">
        <v>0</v>
      </c>
      <c r="AB454">
        <v>0</v>
      </c>
      <c r="AC454">
        <v>0</v>
      </c>
      <c r="AD454">
        <v>1</v>
      </c>
      <c r="AE454">
        <v>0</v>
      </c>
      <c r="AF454" t="s">
        <v>3</v>
      </c>
      <c r="AG454">
        <v>0.32</v>
      </c>
      <c r="AH454">
        <v>2</v>
      </c>
      <c r="AI454">
        <v>48373212</v>
      </c>
      <c r="AJ454">
        <v>452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</row>
    <row r="455" spans="1:44">
      <c r="A455">
        <f>ROW(Source!A185)</f>
        <v>185</v>
      </c>
      <c r="B455">
        <v>48373213</v>
      </c>
      <c r="C455">
        <v>48373210</v>
      </c>
      <c r="D455">
        <v>37768012</v>
      </c>
      <c r="E455">
        <v>1</v>
      </c>
      <c r="F455">
        <v>1</v>
      </c>
      <c r="G455">
        <v>1</v>
      </c>
      <c r="H455">
        <v>3</v>
      </c>
      <c r="I455" t="s">
        <v>540</v>
      </c>
      <c r="J455" t="s">
        <v>541</v>
      </c>
      <c r="K455" t="s">
        <v>542</v>
      </c>
      <c r="L455">
        <v>1339</v>
      </c>
      <c r="N455">
        <v>1007</v>
      </c>
      <c r="O455" t="s">
        <v>543</v>
      </c>
      <c r="P455" t="s">
        <v>543</v>
      </c>
      <c r="Q455">
        <v>1</v>
      </c>
      <c r="X455">
        <v>0.24</v>
      </c>
      <c r="Y455">
        <v>318</v>
      </c>
      <c r="Z455">
        <v>0</v>
      </c>
      <c r="AA455">
        <v>0</v>
      </c>
      <c r="AB455">
        <v>0</v>
      </c>
      <c r="AC455">
        <v>0</v>
      </c>
      <c r="AD455">
        <v>1</v>
      </c>
      <c r="AE455">
        <v>0</v>
      </c>
      <c r="AF455" t="s">
        <v>3</v>
      </c>
      <c r="AG455">
        <v>0.24</v>
      </c>
      <c r="AH455">
        <v>2</v>
      </c>
      <c r="AI455">
        <v>48373213</v>
      </c>
      <c r="AJ455">
        <v>453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</row>
    <row r="456" spans="1:44">
      <c r="A456">
        <f>ROW(Source!A185)</f>
        <v>185</v>
      </c>
      <c r="B456">
        <v>48373214</v>
      </c>
      <c r="C456">
        <v>48373210</v>
      </c>
      <c r="D456">
        <v>37776723</v>
      </c>
      <c r="E456">
        <v>1</v>
      </c>
      <c r="F456">
        <v>1</v>
      </c>
      <c r="G456">
        <v>1</v>
      </c>
      <c r="H456">
        <v>3</v>
      </c>
      <c r="I456" t="s">
        <v>544</v>
      </c>
      <c r="J456" t="s">
        <v>545</v>
      </c>
      <c r="K456" t="s">
        <v>546</v>
      </c>
      <c r="L456">
        <v>1356</v>
      </c>
      <c r="N456">
        <v>1010</v>
      </c>
      <c r="O456" t="s">
        <v>547</v>
      </c>
      <c r="P456" t="s">
        <v>547</v>
      </c>
      <c r="Q456">
        <v>1000</v>
      </c>
      <c r="X456">
        <v>0.4</v>
      </c>
      <c r="Y456">
        <v>794</v>
      </c>
      <c r="Z456">
        <v>0</v>
      </c>
      <c r="AA456">
        <v>0</v>
      </c>
      <c r="AB456">
        <v>0</v>
      </c>
      <c r="AC456">
        <v>0</v>
      </c>
      <c r="AD456">
        <v>1</v>
      </c>
      <c r="AE456">
        <v>0</v>
      </c>
      <c r="AF456" t="s">
        <v>3</v>
      </c>
      <c r="AG456">
        <v>0.4</v>
      </c>
      <c r="AH456">
        <v>2</v>
      </c>
      <c r="AI456">
        <v>48373214</v>
      </c>
      <c r="AJ456">
        <v>454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</row>
    <row r="457" spans="1:44">
      <c r="A457">
        <f>ROW(Source!A186)</f>
        <v>186</v>
      </c>
      <c r="B457">
        <v>48373314</v>
      </c>
      <c r="C457">
        <v>48373313</v>
      </c>
      <c r="D457">
        <v>23129438</v>
      </c>
      <c r="E457">
        <v>1</v>
      </c>
      <c r="F457">
        <v>1</v>
      </c>
      <c r="G457">
        <v>1</v>
      </c>
      <c r="H457">
        <v>1</v>
      </c>
      <c r="I457" t="s">
        <v>685</v>
      </c>
      <c r="J457" t="s">
        <v>3</v>
      </c>
      <c r="K457" t="s">
        <v>686</v>
      </c>
      <c r="L457">
        <v>1369</v>
      </c>
      <c r="N457">
        <v>1013</v>
      </c>
      <c r="O457" t="s">
        <v>510</v>
      </c>
      <c r="P457" t="s">
        <v>510</v>
      </c>
      <c r="Q457">
        <v>1</v>
      </c>
      <c r="X457">
        <v>85.84</v>
      </c>
      <c r="Y457">
        <v>0</v>
      </c>
      <c r="Z457">
        <v>0</v>
      </c>
      <c r="AA457">
        <v>0</v>
      </c>
      <c r="AB457">
        <v>8.7899999999999991</v>
      </c>
      <c r="AC457">
        <v>0</v>
      </c>
      <c r="AD457">
        <v>1</v>
      </c>
      <c r="AE457">
        <v>1</v>
      </c>
      <c r="AF457" t="s">
        <v>161</v>
      </c>
      <c r="AG457">
        <v>98.715999999999994</v>
      </c>
      <c r="AH457">
        <v>2</v>
      </c>
      <c r="AI457">
        <v>48373314</v>
      </c>
      <c r="AJ457">
        <v>455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</row>
    <row r="458" spans="1:44">
      <c r="A458">
        <f>ROW(Source!A186)</f>
        <v>186</v>
      </c>
      <c r="B458">
        <v>48373315</v>
      </c>
      <c r="C458">
        <v>48373313</v>
      </c>
      <c r="D458">
        <v>121548</v>
      </c>
      <c r="E458">
        <v>1</v>
      </c>
      <c r="F458">
        <v>1</v>
      </c>
      <c r="G458">
        <v>1</v>
      </c>
      <c r="H458">
        <v>1</v>
      </c>
      <c r="I458" t="s">
        <v>24</v>
      </c>
      <c r="J458" t="s">
        <v>3</v>
      </c>
      <c r="K458" t="s">
        <v>511</v>
      </c>
      <c r="L458">
        <v>608254</v>
      </c>
      <c r="N458">
        <v>1013</v>
      </c>
      <c r="O458" t="s">
        <v>512</v>
      </c>
      <c r="P458" t="s">
        <v>512</v>
      </c>
      <c r="Q458">
        <v>1</v>
      </c>
      <c r="X458">
        <v>6.29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1</v>
      </c>
      <c r="AE458">
        <v>2</v>
      </c>
      <c r="AF458" t="s">
        <v>160</v>
      </c>
      <c r="AG458">
        <v>7.8624999999999998</v>
      </c>
      <c r="AH458">
        <v>2</v>
      </c>
      <c r="AI458">
        <v>48373315</v>
      </c>
      <c r="AJ458">
        <v>456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</row>
    <row r="459" spans="1:44">
      <c r="A459">
        <f>ROW(Source!A186)</f>
        <v>186</v>
      </c>
      <c r="B459">
        <v>48373316</v>
      </c>
      <c r="C459">
        <v>48373313</v>
      </c>
      <c r="D459">
        <v>37802578</v>
      </c>
      <c r="E459">
        <v>1</v>
      </c>
      <c r="F459">
        <v>1</v>
      </c>
      <c r="G459">
        <v>1</v>
      </c>
      <c r="H459">
        <v>2</v>
      </c>
      <c r="I459" t="s">
        <v>550</v>
      </c>
      <c r="J459" t="s">
        <v>551</v>
      </c>
      <c r="K459" t="s">
        <v>552</v>
      </c>
      <c r="L459">
        <v>1368</v>
      </c>
      <c r="N459">
        <v>1011</v>
      </c>
      <c r="O459" t="s">
        <v>516</v>
      </c>
      <c r="P459" t="s">
        <v>516</v>
      </c>
      <c r="Q459">
        <v>1</v>
      </c>
      <c r="X459">
        <v>0.84</v>
      </c>
      <c r="Y459">
        <v>0</v>
      </c>
      <c r="Z459">
        <v>32.090000000000003</v>
      </c>
      <c r="AA459">
        <v>12.1</v>
      </c>
      <c r="AB459">
        <v>0</v>
      </c>
      <c r="AC459">
        <v>0</v>
      </c>
      <c r="AD459">
        <v>1</v>
      </c>
      <c r="AE459">
        <v>0</v>
      </c>
      <c r="AF459" t="s">
        <v>160</v>
      </c>
      <c r="AG459">
        <v>1.05</v>
      </c>
      <c r="AH459">
        <v>2</v>
      </c>
      <c r="AI459">
        <v>48373316</v>
      </c>
      <c r="AJ459">
        <v>457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</row>
    <row r="460" spans="1:44">
      <c r="A460">
        <f>ROW(Source!A186)</f>
        <v>186</v>
      </c>
      <c r="B460">
        <v>48373317</v>
      </c>
      <c r="C460">
        <v>48373313</v>
      </c>
      <c r="D460">
        <v>37803004</v>
      </c>
      <c r="E460">
        <v>1</v>
      </c>
      <c r="F460">
        <v>1</v>
      </c>
      <c r="G460">
        <v>1</v>
      </c>
      <c r="H460">
        <v>2</v>
      </c>
      <c r="I460" t="s">
        <v>633</v>
      </c>
      <c r="J460" t="s">
        <v>634</v>
      </c>
      <c r="K460" t="s">
        <v>635</v>
      </c>
      <c r="L460">
        <v>1368</v>
      </c>
      <c r="N460">
        <v>1011</v>
      </c>
      <c r="O460" t="s">
        <v>516</v>
      </c>
      <c r="P460" t="s">
        <v>516</v>
      </c>
      <c r="Q460">
        <v>1</v>
      </c>
      <c r="X460">
        <v>5.45</v>
      </c>
      <c r="Y460">
        <v>0</v>
      </c>
      <c r="Z460">
        <v>14.75</v>
      </c>
      <c r="AA460">
        <v>8</v>
      </c>
      <c r="AB460">
        <v>0</v>
      </c>
      <c r="AC460">
        <v>0</v>
      </c>
      <c r="AD460">
        <v>1</v>
      </c>
      <c r="AE460">
        <v>0</v>
      </c>
      <c r="AF460" t="s">
        <v>160</v>
      </c>
      <c r="AG460">
        <v>6.8125</v>
      </c>
      <c r="AH460">
        <v>2</v>
      </c>
      <c r="AI460">
        <v>48373317</v>
      </c>
      <c r="AJ460">
        <v>458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</row>
    <row r="461" spans="1:44">
      <c r="A461">
        <f>ROW(Source!A186)</f>
        <v>186</v>
      </c>
      <c r="B461">
        <v>48373318</v>
      </c>
      <c r="C461">
        <v>48373313</v>
      </c>
      <c r="D461">
        <v>37736937</v>
      </c>
      <c r="E461">
        <v>1</v>
      </c>
      <c r="F461">
        <v>1</v>
      </c>
      <c r="G461">
        <v>1</v>
      </c>
      <c r="H461">
        <v>3</v>
      </c>
      <c r="I461" t="s">
        <v>636</v>
      </c>
      <c r="J461" t="s">
        <v>637</v>
      </c>
      <c r="K461" t="s">
        <v>638</v>
      </c>
      <c r="L461">
        <v>1348</v>
      </c>
      <c r="N461">
        <v>1009</v>
      </c>
      <c r="O461" t="s">
        <v>536</v>
      </c>
      <c r="P461" t="s">
        <v>536</v>
      </c>
      <c r="Q461">
        <v>1000</v>
      </c>
      <c r="X461">
        <v>1.2E-4</v>
      </c>
      <c r="Y461">
        <v>9153</v>
      </c>
      <c r="Z461">
        <v>0</v>
      </c>
      <c r="AA461">
        <v>0</v>
      </c>
      <c r="AB461">
        <v>0</v>
      </c>
      <c r="AC461">
        <v>0</v>
      </c>
      <c r="AD461">
        <v>1</v>
      </c>
      <c r="AE461">
        <v>0</v>
      </c>
      <c r="AF461" t="s">
        <v>3</v>
      </c>
      <c r="AG461">
        <v>1.2E-4</v>
      </c>
      <c r="AH461">
        <v>2</v>
      </c>
      <c r="AI461">
        <v>48373318</v>
      </c>
      <c r="AJ461">
        <v>459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</row>
    <row r="462" spans="1:44">
      <c r="A462">
        <f>ROW(Source!A186)</f>
        <v>186</v>
      </c>
      <c r="B462">
        <v>48373319</v>
      </c>
      <c r="C462">
        <v>48373313</v>
      </c>
      <c r="D462">
        <v>37735510</v>
      </c>
      <c r="E462">
        <v>1</v>
      </c>
      <c r="F462">
        <v>1</v>
      </c>
      <c r="G462">
        <v>1</v>
      </c>
      <c r="H462">
        <v>3</v>
      </c>
      <c r="I462" t="s">
        <v>639</v>
      </c>
      <c r="J462" t="s">
        <v>640</v>
      </c>
      <c r="K462" t="s">
        <v>641</v>
      </c>
      <c r="L462">
        <v>1327</v>
      </c>
      <c r="N462">
        <v>1005</v>
      </c>
      <c r="O462" t="s">
        <v>189</v>
      </c>
      <c r="P462" t="s">
        <v>189</v>
      </c>
      <c r="Q462">
        <v>1</v>
      </c>
      <c r="X462">
        <v>5.54</v>
      </c>
      <c r="Y462">
        <v>28.25</v>
      </c>
      <c r="Z462">
        <v>0</v>
      </c>
      <c r="AA462">
        <v>0</v>
      </c>
      <c r="AB462">
        <v>0</v>
      </c>
      <c r="AC462">
        <v>0</v>
      </c>
      <c r="AD462">
        <v>1</v>
      </c>
      <c r="AE462">
        <v>0</v>
      </c>
      <c r="AF462" t="s">
        <v>3</v>
      </c>
      <c r="AG462">
        <v>5.54</v>
      </c>
      <c r="AH462">
        <v>2</v>
      </c>
      <c r="AI462">
        <v>48373319</v>
      </c>
      <c r="AJ462">
        <v>460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</row>
    <row r="463" spans="1:44">
      <c r="A463">
        <f>ROW(Source!A186)</f>
        <v>186</v>
      </c>
      <c r="B463">
        <v>48373320</v>
      </c>
      <c r="C463">
        <v>48373313</v>
      </c>
      <c r="D463">
        <v>37768066</v>
      </c>
      <c r="E463">
        <v>1</v>
      </c>
      <c r="F463">
        <v>1</v>
      </c>
      <c r="G463">
        <v>1</v>
      </c>
      <c r="H463">
        <v>3</v>
      </c>
      <c r="I463" t="s">
        <v>642</v>
      </c>
      <c r="J463" t="s">
        <v>643</v>
      </c>
      <c r="K463" t="s">
        <v>644</v>
      </c>
      <c r="L463">
        <v>1339</v>
      </c>
      <c r="N463">
        <v>1007</v>
      </c>
      <c r="O463" t="s">
        <v>543</v>
      </c>
      <c r="P463" t="s">
        <v>543</v>
      </c>
      <c r="Q463">
        <v>1</v>
      </c>
      <c r="X463">
        <v>1.87</v>
      </c>
      <c r="Y463">
        <v>399</v>
      </c>
      <c r="Z463">
        <v>0</v>
      </c>
      <c r="AA463">
        <v>0</v>
      </c>
      <c r="AB463">
        <v>0</v>
      </c>
      <c r="AC463">
        <v>0</v>
      </c>
      <c r="AD463">
        <v>1</v>
      </c>
      <c r="AE463">
        <v>0</v>
      </c>
      <c r="AF463" t="s">
        <v>3</v>
      </c>
      <c r="AG463">
        <v>1.87</v>
      </c>
      <c r="AH463">
        <v>2</v>
      </c>
      <c r="AI463">
        <v>48373320</v>
      </c>
      <c r="AJ463">
        <v>461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</row>
    <row r="464" spans="1:44">
      <c r="A464">
        <f>ROW(Source!A186)</f>
        <v>186</v>
      </c>
      <c r="B464">
        <v>48373321</v>
      </c>
      <c r="C464">
        <v>48373313</v>
      </c>
      <c r="D464">
        <v>37777026</v>
      </c>
      <c r="E464">
        <v>1</v>
      </c>
      <c r="F464">
        <v>1</v>
      </c>
      <c r="G464">
        <v>1</v>
      </c>
      <c r="H464">
        <v>3</v>
      </c>
      <c r="I464" t="s">
        <v>645</v>
      </c>
      <c r="J464" t="s">
        <v>646</v>
      </c>
      <c r="K464" t="s">
        <v>647</v>
      </c>
      <c r="L464">
        <v>1348</v>
      </c>
      <c r="N464">
        <v>1009</v>
      </c>
      <c r="O464" t="s">
        <v>536</v>
      </c>
      <c r="P464" t="s">
        <v>536</v>
      </c>
      <c r="Q464">
        <v>1000</v>
      </c>
      <c r="X464">
        <v>6.0000000000000001E-3</v>
      </c>
      <c r="Y464">
        <v>729.98</v>
      </c>
      <c r="Z464">
        <v>0</v>
      </c>
      <c r="AA464">
        <v>0</v>
      </c>
      <c r="AB464">
        <v>0</v>
      </c>
      <c r="AC464">
        <v>0</v>
      </c>
      <c r="AD464">
        <v>1</v>
      </c>
      <c r="AE464">
        <v>0</v>
      </c>
      <c r="AF464" t="s">
        <v>3</v>
      </c>
      <c r="AG464">
        <v>6.0000000000000001E-3</v>
      </c>
      <c r="AH464">
        <v>2</v>
      </c>
      <c r="AI464">
        <v>48373321</v>
      </c>
      <c r="AJ464">
        <v>462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</row>
    <row r="465" spans="1:44">
      <c r="A465">
        <f>ROW(Source!A187)</f>
        <v>187</v>
      </c>
      <c r="B465">
        <v>48373329</v>
      </c>
      <c r="C465">
        <v>48373322</v>
      </c>
      <c r="D465">
        <v>23132590</v>
      </c>
      <c r="E465">
        <v>1</v>
      </c>
      <c r="F465">
        <v>1</v>
      </c>
      <c r="G465">
        <v>1</v>
      </c>
      <c r="H465">
        <v>1</v>
      </c>
      <c r="I465" t="s">
        <v>889</v>
      </c>
      <c r="J465" t="s">
        <v>3</v>
      </c>
      <c r="K465" t="s">
        <v>890</v>
      </c>
      <c r="L465">
        <v>1369</v>
      </c>
      <c r="N465">
        <v>1013</v>
      </c>
      <c r="O465" t="s">
        <v>510</v>
      </c>
      <c r="P465" t="s">
        <v>510</v>
      </c>
      <c r="Q465">
        <v>1</v>
      </c>
      <c r="X465">
        <v>39.51</v>
      </c>
      <c r="Y465">
        <v>0</v>
      </c>
      <c r="Z465">
        <v>0</v>
      </c>
      <c r="AA465">
        <v>0</v>
      </c>
      <c r="AB465">
        <v>7.43</v>
      </c>
      <c r="AC465">
        <v>0</v>
      </c>
      <c r="AD465">
        <v>1</v>
      </c>
      <c r="AE465">
        <v>1</v>
      </c>
      <c r="AF465" t="s">
        <v>161</v>
      </c>
      <c r="AG465">
        <v>45.436499999999995</v>
      </c>
      <c r="AH465">
        <v>2</v>
      </c>
      <c r="AI465">
        <v>48373323</v>
      </c>
      <c r="AJ465">
        <v>463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</row>
    <row r="466" spans="1:44">
      <c r="A466">
        <f>ROW(Source!A187)</f>
        <v>187</v>
      </c>
      <c r="B466">
        <v>48373330</v>
      </c>
      <c r="C466">
        <v>48373322</v>
      </c>
      <c r="D466">
        <v>121548</v>
      </c>
      <c r="E466">
        <v>1</v>
      </c>
      <c r="F466">
        <v>1</v>
      </c>
      <c r="G466">
        <v>1</v>
      </c>
      <c r="H466">
        <v>1</v>
      </c>
      <c r="I466" t="s">
        <v>24</v>
      </c>
      <c r="J466" t="s">
        <v>3</v>
      </c>
      <c r="K466" t="s">
        <v>511</v>
      </c>
      <c r="L466">
        <v>608254</v>
      </c>
      <c r="N466">
        <v>1013</v>
      </c>
      <c r="O466" t="s">
        <v>512</v>
      </c>
      <c r="P466" t="s">
        <v>512</v>
      </c>
      <c r="Q466">
        <v>1</v>
      </c>
      <c r="X466">
        <v>1.27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1</v>
      </c>
      <c r="AE466">
        <v>2</v>
      </c>
      <c r="AF466" t="s">
        <v>160</v>
      </c>
      <c r="AG466">
        <v>1.5874999999999999</v>
      </c>
      <c r="AH466">
        <v>2</v>
      </c>
      <c r="AI466">
        <v>48373324</v>
      </c>
      <c r="AJ466">
        <v>464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</row>
    <row r="467" spans="1:44">
      <c r="A467">
        <f>ROW(Source!A187)</f>
        <v>187</v>
      </c>
      <c r="B467">
        <v>48373331</v>
      </c>
      <c r="C467">
        <v>48373322</v>
      </c>
      <c r="D467">
        <v>37802578</v>
      </c>
      <c r="E467">
        <v>1</v>
      </c>
      <c r="F467">
        <v>1</v>
      </c>
      <c r="G467">
        <v>1</v>
      </c>
      <c r="H467">
        <v>2</v>
      </c>
      <c r="I467" t="s">
        <v>550</v>
      </c>
      <c r="J467" t="s">
        <v>551</v>
      </c>
      <c r="K467" t="s">
        <v>552</v>
      </c>
      <c r="L467">
        <v>1368</v>
      </c>
      <c r="N467">
        <v>1011</v>
      </c>
      <c r="O467" t="s">
        <v>516</v>
      </c>
      <c r="P467" t="s">
        <v>516</v>
      </c>
      <c r="Q467">
        <v>1</v>
      </c>
      <c r="X467">
        <v>1.27</v>
      </c>
      <c r="Y467">
        <v>0</v>
      </c>
      <c r="Z467">
        <v>32.090000000000003</v>
      </c>
      <c r="AA467">
        <v>12.1</v>
      </c>
      <c r="AB467">
        <v>0</v>
      </c>
      <c r="AC467">
        <v>0</v>
      </c>
      <c r="AD467">
        <v>1</v>
      </c>
      <c r="AE467">
        <v>0</v>
      </c>
      <c r="AF467" t="s">
        <v>160</v>
      </c>
      <c r="AG467">
        <v>1.5874999999999999</v>
      </c>
      <c r="AH467">
        <v>2</v>
      </c>
      <c r="AI467">
        <v>48373325</v>
      </c>
      <c r="AJ467">
        <v>465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</row>
    <row r="468" spans="1:44">
      <c r="A468">
        <f>ROW(Source!A187)</f>
        <v>187</v>
      </c>
      <c r="B468">
        <v>48373332</v>
      </c>
      <c r="C468">
        <v>48373322</v>
      </c>
      <c r="D468">
        <v>37803001</v>
      </c>
      <c r="E468">
        <v>1</v>
      </c>
      <c r="F468">
        <v>1</v>
      </c>
      <c r="G468">
        <v>1</v>
      </c>
      <c r="H468">
        <v>2</v>
      </c>
      <c r="I468" t="s">
        <v>891</v>
      </c>
      <c r="J468" t="s">
        <v>892</v>
      </c>
      <c r="K468" t="s">
        <v>893</v>
      </c>
      <c r="L468">
        <v>1368</v>
      </c>
      <c r="N468">
        <v>1011</v>
      </c>
      <c r="O468" t="s">
        <v>516</v>
      </c>
      <c r="P468" t="s">
        <v>516</v>
      </c>
      <c r="Q468">
        <v>1</v>
      </c>
      <c r="X468">
        <v>9.07</v>
      </c>
      <c r="Y468">
        <v>0</v>
      </c>
      <c r="Z468">
        <v>0.66</v>
      </c>
      <c r="AA468">
        <v>0</v>
      </c>
      <c r="AB468">
        <v>0</v>
      </c>
      <c r="AC468">
        <v>0</v>
      </c>
      <c r="AD468">
        <v>1</v>
      </c>
      <c r="AE468">
        <v>0</v>
      </c>
      <c r="AF468" t="s">
        <v>160</v>
      </c>
      <c r="AG468">
        <v>11.3375</v>
      </c>
      <c r="AH468">
        <v>2</v>
      </c>
      <c r="AI468">
        <v>48373326</v>
      </c>
      <c r="AJ468">
        <v>466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</row>
    <row r="469" spans="1:44">
      <c r="A469">
        <f>ROW(Source!A187)</f>
        <v>187</v>
      </c>
      <c r="B469">
        <v>48373333</v>
      </c>
      <c r="C469">
        <v>48373322</v>
      </c>
      <c r="D469">
        <v>37768005</v>
      </c>
      <c r="E469">
        <v>1</v>
      </c>
      <c r="F469">
        <v>1</v>
      </c>
      <c r="G469">
        <v>1</v>
      </c>
      <c r="H469">
        <v>3</v>
      </c>
      <c r="I469" t="s">
        <v>894</v>
      </c>
      <c r="J469" t="s">
        <v>895</v>
      </c>
      <c r="K469" t="s">
        <v>896</v>
      </c>
      <c r="L469">
        <v>1339</v>
      </c>
      <c r="N469">
        <v>1007</v>
      </c>
      <c r="O469" t="s">
        <v>543</v>
      </c>
      <c r="P469" t="s">
        <v>543</v>
      </c>
      <c r="Q469">
        <v>1</v>
      </c>
      <c r="X469">
        <v>2.04</v>
      </c>
      <c r="Y469">
        <v>472.01</v>
      </c>
      <c r="Z469">
        <v>0</v>
      </c>
      <c r="AA469">
        <v>0</v>
      </c>
      <c r="AB469">
        <v>0</v>
      </c>
      <c r="AC469">
        <v>0</v>
      </c>
      <c r="AD469">
        <v>1</v>
      </c>
      <c r="AE469">
        <v>0</v>
      </c>
      <c r="AF469" t="s">
        <v>3</v>
      </c>
      <c r="AG469">
        <v>2.04</v>
      </c>
      <c r="AH469">
        <v>2</v>
      </c>
      <c r="AI469">
        <v>48373327</v>
      </c>
      <c r="AJ469">
        <v>467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</row>
    <row r="470" spans="1:44">
      <c r="A470">
        <f>ROW(Source!A187)</f>
        <v>187</v>
      </c>
      <c r="B470">
        <v>48373334</v>
      </c>
      <c r="C470">
        <v>48373322</v>
      </c>
      <c r="D470">
        <v>37777802</v>
      </c>
      <c r="E470">
        <v>1</v>
      </c>
      <c r="F470">
        <v>1</v>
      </c>
      <c r="G470">
        <v>1</v>
      </c>
      <c r="H470">
        <v>3</v>
      </c>
      <c r="I470" t="s">
        <v>616</v>
      </c>
      <c r="J470" t="s">
        <v>617</v>
      </c>
      <c r="K470" t="s">
        <v>618</v>
      </c>
      <c r="L470">
        <v>1339</v>
      </c>
      <c r="N470">
        <v>1007</v>
      </c>
      <c r="O470" t="s">
        <v>543</v>
      </c>
      <c r="P470" t="s">
        <v>543</v>
      </c>
      <c r="Q470">
        <v>1</v>
      </c>
      <c r="X470">
        <v>3.5</v>
      </c>
      <c r="Y470">
        <v>2.4700000000000002</v>
      </c>
      <c r="Z470">
        <v>0</v>
      </c>
      <c r="AA470">
        <v>0</v>
      </c>
      <c r="AB470">
        <v>0</v>
      </c>
      <c r="AC470">
        <v>0</v>
      </c>
      <c r="AD470">
        <v>1</v>
      </c>
      <c r="AE470">
        <v>0</v>
      </c>
      <c r="AF470" t="s">
        <v>3</v>
      </c>
      <c r="AG470">
        <v>3.5</v>
      </c>
      <c r="AH470">
        <v>2</v>
      </c>
      <c r="AI470">
        <v>48373328</v>
      </c>
      <c r="AJ470">
        <v>468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</row>
    <row r="471" spans="1:44">
      <c r="A471">
        <f>ROW(Source!A188)</f>
        <v>188</v>
      </c>
      <c r="B471">
        <v>48373349</v>
      </c>
      <c r="C471">
        <v>48373335</v>
      </c>
      <c r="D471">
        <v>23134955</v>
      </c>
      <c r="E471">
        <v>1</v>
      </c>
      <c r="F471">
        <v>1</v>
      </c>
      <c r="G471">
        <v>1</v>
      </c>
      <c r="H471">
        <v>1</v>
      </c>
      <c r="I471" t="s">
        <v>662</v>
      </c>
      <c r="J471" t="s">
        <v>3</v>
      </c>
      <c r="K471" t="s">
        <v>663</v>
      </c>
      <c r="L471">
        <v>1369</v>
      </c>
      <c r="N471">
        <v>1013</v>
      </c>
      <c r="O471" t="s">
        <v>510</v>
      </c>
      <c r="P471" t="s">
        <v>510</v>
      </c>
      <c r="Q471">
        <v>1</v>
      </c>
      <c r="X471">
        <v>310.42</v>
      </c>
      <c r="Y471">
        <v>0</v>
      </c>
      <c r="Z471">
        <v>0</v>
      </c>
      <c r="AA471">
        <v>0</v>
      </c>
      <c r="AB471">
        <v>8.17</v>
      </c>
      <c r="AC471">
        <v>0</v>
      </c>
      <c r="AD471">
        <v>1</v>
      </c>
      <c r="AE471">
        <v>1</v>
      </c>
      <c r="AF471" t="s">
        <v>161</v>
      </c>
      <c r="AG471">
        <v>356.983</v>
      </c>
      <c r="AH471">
        <v>2</v>
      </c>
      <c r="AI471">
        <v>48373336</v>
      </c>
      <c r="AJ471">
        <v>469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</row>
    <row r="472" spans="1:44">
      <c r="A472">
        <f>ROW(Source!A188)</f>
        <v>188</v>
      </c>
      <c r="B472">
        <v>48373350</v>
      </c>
      <c r="C472">
        <v>48373335</v>
      </c>
      <c r="D472">
        <v>121548</v>
      </c>
      <c r="E472">
        <v>1</v>
      </c>
      <c r="F472">
        <v>1</v>
      </c>
      <c r="G472">
        <v>1</v>
      </c>
      <c r="H472">
        <v>1</v>
      </c>
      <c r="I472" t="s">
        <v>24</v>
      </c>
      <c r="J472" t="s">
        <v>3</v>
      </c>
      <c r="K472" t="s">
        <v>511</v>
      </c>
      <c r="L472">
        <v>608254</v>
      </c>
      <c r="N472">
        <v>1013</v>
      </c>
      <c r="O472" t="s">
        <v>512</v>
      </c>
      <c r="P472" t="s">
        <v>512</v>
      </c>
      <c r="Q472">
        <v>1</v>
      </c>
      <c r="X472">
        <v>1.72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1</v>
      </c>
      <c r="AE472">
        <v>2</v>
      </c>
      <c r="AF472" t="s">
        <v>160</v>
      </c>
      <c r="AG472">
        <v>2.15</v>
      </c>
      <c r="AH472">
        <v>2</v>
      </c>
      <c r="AI472">
        <v>48373337</v>
      </c>
      <c r="AJ472">
        <v>470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</row>
    <row r="473" spans="1:44">
      <c r="A473">
        <f>ROW(Source!A188)</f>
        <v>188</v>
      </c>
      <c r="B473">
        <v>48373351</v>
      </c>
      <c r="C473">
        <v>48373335</v>
      </c>
      <c r="D473">
        <v>37802358</v>
      </c>
      <c r="E473">
        <v>1</v>
      </c>
      <c r="F473">
        <v>1</v>
      </c>
      <c r="G473">
        <v>1</v>
      </c>
      <c r="H473">
        <v>2</v>
      </c>
      <c r="I473" t="s">
        <v>664</v>
      </c>
      <c r="J473" t="s">
        <v>665</v>
      </c>
      <c r="K473" t="s">
        <v>666</v>
      </c>
      <c r="L473">
        <v>1368</v>
      </c>
      <c r="N473">
        <v>1011</v>
      </c>
      <c r="O473" t="s">
        <v>516</v>
      </c>
      <c r="P473" t="s">
        <v>516</v>
      </c>
      <c r="Q473">
        <v>1</v>
      </c>
      <c r="X473">
        <v>0.02</v>
      </c>
      <c r="Y473">
        <v>0</v>
      </c>
      <c r="Z473">
        <v>100.33</v>
      </c>
      <c r="AA473">
        <v>12.1</v>
      </c>
      <c r="AB473">
        <v>0</v>
      </c>
      <c r="AC473">
        <v>0</v>
      </c>
      <c r="AD473">
        <v>1</v>
      </c>
      <c r="AE473">
        <v>0</v>
      </c>
      <c r="AF473" t="s">
        <v>160</v>
      </c>
      <c r="AG473">
        <v>2.5000000000000001E-2</v>
      </c>
      <c r="AH473">
        <v>2</v>
      </c>
      <c r="AI473">
        <v>48373338</v>
      </c>
      <c r="AJ473">
        <v>471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</row>
    <row r="474" spans="1:44">
      <c r="A474">
        <f>ROW(Source!A188)</f>
        <v>188</v>
      </c>
      <c r="B474">
        <v>48373352</v>
      </c>
      <c r="C474">
        <v>48373335</v>
      </c>
      <c r="D474">
        <v>37802442</v>
      </c>
      <c r="E474">
        <v>1</v>
      </c>
      <c r="F474">
        <v>1</v>
      </c>
      <c r="G474">
        <v>1</v>
      </c>
      <c r="H474">
        <v>2</v>
      </c>
      <c r="I474" t="s">
        <v>667</v>
      </c>
      <c r="J474" t="s">
        <v>668</v>
      </c>
      <c r="K474" t="s">
        <v>669</v>
      </c>
      <c r="L474">
        <v>1368</v>
      </c>
      <c r="N474">
        <v>1011</v>
      </c>
      <c r="O474" t="s">
        <v>516</v>
      </c>
      <c r="P474" t="s">
        <v>516</v>
      </c>
      <c r="Q474">
        <v>1</v>
      </c>
      <c r="X474">
        <v>0.01</v>
      </c>
      <c r="Y474">
        <v>0</v>
      </c>
      <c r="Z474">
        <v>104.01</v>
      </c>
      <c r="AA474">
        <v>10.35</v>
      </c>
      <c r="AB474">
        <v>0</v>
      </c>
      <c r="AC474">
        <v>0</v>
      </c>
      <c r="AD474">
        <v>1</v>
      </c>
      <c r="AE474">
        <v>0</v>
      </c>
      <c r="AF474" t="s">
        <v>160</v>
      </c>
      <c r="AG474">
        <v>1.2500000000000001E-2</v>
      </c>
      <c r="AH474">
        <v>2</v>
      </c>
      <c r="AI474">
        <v>48373339</v>
      </c>
      <c r="AJ474">
        <v>472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</row>
    <row r="475" spans="1:44">
      <c r="A475">
        <f>ROW(Source!A188)</f>
        <v>188</v>
      </c>
      <c r="B475">
        <v>48373353</v>
      </c>
      <c r="C475">
        <v>48373335</v>
      </c>
      <c r="D475">
        <v>37802992</v>
      </c>
      <c r="E475">
        <v>1</v>
      </c>
      <c r="F475">
        <v>1</v>
      </c>
      <c r="G475">
        <v>1</v>
      </c>
      <c r="H475">
        <v>2</v>
      </c>
      <c r="I475" t="s">
        <v>653</v>
      </c>
      <c r="J475" t="s">
        <v>654</v>
      </c>
      <c r="K475" t="s">
        <v>655</v>
      </c>
      <c r="L475">
        <v>1368</v>
      </c>
      <c r="N475">
        <v>1011</v>
      </c>
      <c r="O475" t="s">
        <v>516</v>
      </c>
      <c r="P475" t="s">
        <v>516</v>
      </c>
      <c r="Q475">
        <v>1</v>
      </c>
      <c r="X475">
        <v>1.69</v>
      </c>
      <c r="Y475">
        <v>0</v>
      </c>
      <c r="Z475">
        <v>11.32</v>
      </c>
      <c r="AA475">
        <v>9</v>
      </c>
      <c r="AB475">
        <v>0</v>
      </c>
      <c r="AC475">
        <v>0</v>
      </c>
      <c r="AD475">
        <v>1</v>
      </c>
      <c r="AE475">
        <v>0</v>
      </c>
      <c r="AF475" t="s">
        <v>160</v>
      </c>
      <c r="AG475">
        <v>2.1124999999999998</v>
      </c>
      <c r="AH475">
        <v>2</v>
      </c>
      <c r="AI475">
        <v>48373340</v>
      </c>
      <c r="AJ475">
        <v>473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</row>
    <row r="476" spans="1:44">
      <c r="A476">
        <f>ROW(Source!A188)</f>
        <v>188</v>
      </c>
      <c r="B476">
        <v>48373354</v>
      </c>
      <c r="C476">
        <v>48373335</v>
      </c>
      <c r="D476">
        <v>37804194</v>
      </c>
      <c r="E476">
        <v>1</v>
      </c>
      <c r="F476">
        <v>1</v>
      </c>
      <c r="G476">
        <v>1</v>
      </c>
      <c r="H476">
        <v>2</v>
      </c>
      <c r="I476" t="s">
        <v>670</v>
      </c>
      <c r="J476" t="s">
        <v>671</v>
      </c>
      <c r="K476" t="s">
        <v>672</v>
      </c>
      <c r="L476">
        <v>1368</v>
      </c>
      <c r="N476">
        <v>1011</v>
      </c>
      <c r="O476" t="s">
        <v>516</v>
      </c>
      <c r="P476" t="s">
        <v>516</v>
      </c>
      <c r="Q476">
        <v>1</v>
      </c>
      <c r="X476">
        <v>0.05</v>
      </c>
      <c r="Y476">
        <v>0</v>
      </c>
      <c r="Z476">
        <v>11.02</v>
      </c>
      <c r="AA476">
        <v>0</v>
      </c>
      <c r="AB476">
        <v>0</v>
      </c>
      <c r="AC476">
        <v>0</v>
      </c>
      <c r="AD476">
        <v>1</v>
      </c>
      <c r="AE476">
        <v>0</v>
      </c>
      <c r="AF476" t="s">
        <v>160</v>
      </c>
      <c r="AG476">
        <v>6.25E-2</v>
      </c>
      <c r="AH476">
        <v>2</v>
      </c>
      <c r="AI476">
        <v>48373341</v>
      </c>
      <c r="AJ476">
        <v>474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</row>
    <row r="477" spans="1:44">
      <c r="A477">
        <f>ROW(Source!A188)</f>
        <v>188</v>
      </c>
      <c r="B477">
        <v>48373355</v>
      </c>
      <c r="C477">
        <v>48373335</v>
      </c>
      <c r="D477">
        <v>37804456</v>
      </c>
      <c r="E477">
        <v>1</v>
      </c>
      <c r="F477">
        <v>1</v>
      </c>
      <c r="G477">
        <v>1</v>
      </c>
      <c r="H477">
        <v>2</v>
      </c>
      <c r="I477" t="s">
        <v>530</v>
      </c>
      <c r="J477" t="s">
        <v>531</v>
      </c>
      <c r="K477" t="s">
        <v>532</v>
      </c>
      <c r="L477">
        <v>1368</v>
      </c>
      <c r="N477">
        <v>1011</v>
      </c>
      <c r="O477" t="s">
        <v>516</v>
      </c>
      <c r="P477" t="s">
        <v>516</v>
      </c>
      <c r="Q477">
        <v>1</v>
      </c>
      <c r="X477">
        <v>0.01</v>
      </c>
      <c r="Y477">
        <v>0</v>
      </c>
      <c r="Z477">
        <v>91.76</v>
      </c>
      <c r="AA477">
        <v>10.35</v>
      </c>
      <c r="AB477">
        <v>0</v>
      </c>
      <c r="AC477">
        <v>0</v>
      </c>
      <c r="AD477">
        <v>1</v>
      </c>
      <c r="AE477">
        <v>0</v>
      </c>
      <c r="AF477" t="s">
        <v>160</v>
      </c>
      <c r="AG477">
        <v>1.2500000000000001E-2</v>
      </c>
      <c r="AH477">
        <v>2</v>
      </c>
      <c r="AI477">
        <v>48373342</v>
      </c>
      <c r="AJ477">
        <v>475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</row>
    <row r="478" spans="1:44">
      <c r="A478">
        <f>ROW(Source!A188)</f>
        <v>188</v>
      </c>
      <c r="B478">
        <v>48373356</v>
      </c>
      <c r="C478">
        <v>48373335</v>
      </c>
      <c r="D478">
        <v>37730034</v>
      </c>
      <c r="E478">
        <v>1</v>
      </c>
      <c r="F478">
        <v>1</v>
      </c>
      <c r="G478">
        <v>1</v>
      </c>
      <c r="H478">
        <v>3</v>
      </c>
      <c r="I478" t="s">
        <v>673</v>
      </c>
      <c r="J478" t="s">
        <v>674</v>
      </c>
      <c r="K478" t="s">
        <v>675</v>
      </c>
      <c r="L478">
        <v>1348</v>
      </c>
      <c r="N478">
        <v>1009</v>
      </c>
      <c r="O478" t="s">
        <v>536</v>
      </c>
      <c r="P478" t="s">
        <v>536</v>
      </c>
      <c r="Q478">
        <v>1000</v>
      </c>
      <c r="X478">
        <v>1.2999999999999999E-2</v>
      </c>
      <c r="Y478">
        <v>6610.69</v>
      </c>
      <c r="Z478">
        <v>0</v>
      </c>
      <c r="AA478">
        <v>0</v>
      </c>
      <c r="AB478">
        <v>0</v>
      </c>
      <c r="AC478">
        <v>0</v>
      </c>
      <c r="AD478">
        <v>1</v>
      </c>
      <c r="AE478">
        <v>0</v>
      </c>
      <c r="AF478" t="s">
        <v>3</v>
      </c>
      <c r="AG478">
        <v>1.2999999999999999E-2</v>
      </c>
      <c r="AH478">
        <v>2</v>
      </c>
      <c r="AI478">
        <v>48373343</v>
      </c>
      <c r="AJ478">
        <v>476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</row>
    <row r="479" spans="1:44">
      <c r="A479">
        <f>ROW(Source!A188)</f>
        <v>188</v>
      </c>
      <c r="B479">
        <v>48373357</v>
      </c>
      <c r="C479">
        <v>48373335</v>
      </c>
      <c r="D479">
        <v>37731608</v>
      </c>
      <c r="E479">
        <v>1</v>
      </c>
      <c r="F479">
        <v>1</v>
      </c>
      <c r="G479">
        <v>1</v>
      </c>
      <c r="H479">
        <v>3</v>
      </c>
      <c r="I479" t="s">
        <v>676</v>
      </c>
      <c r="J479" t="s">
        <v>677</v>
      </c>
      <c r="K479" t="s">
        <v>678</v>
      </c>
      <c r="L479">
        <v>1346</v>
      </c>
      <c r="N479">
        <v>1009</v>
      </c>
      <c r="O479" t="s">
        <v>172</v>
      </c>
      <c r="P479" t="s">
        <v>172</v>
      </c>
      <c r="Q479">
        <v>1</v>
      </c>
      <c r="X479">
        <v>1200</v>
      </c>
      <c r="Y479">
        <v>3.74</v>
      </c>
      <c r="Z479">
        <v>0</v>
      </c>
      <c r="AA479">
        <v>0</v>
      </c>
      <c r="AB479">
        <v>0</v>
      </c>
      <c r="AC479">
        <v>0</v>
      </c>
      <c r="AD479">
        <v>1</v>
      </c>
      <c r="AE479">
        <v>0</v>
      </c>
      <c r="AF479" t="s">
        <v>3</v>
      </c>
      <c r="AG479">
        <v>1200</v>
      </c>
      <c r="AH479">
        <v>2</v>
      </c>
      <c r="AI479">
        <v>48373344</v>
      </c>
      <c r="AJ479">
        <v>477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</row>
    <row r="480" spans="1:44">
      <c r="A480">
        <f>ROW(Source!A188)</f>
        <v>188</v>
      </c>
      <c r="B480">
        <v>48373358</v>
      </c>
      <c r="C480">
        <v>48373335</v>
      </c>
      <c r="D480">
        <v>37731963</v>
      </c>
      <c r="E480">
        <v>1</v>
      </c>
      <c r="F480">
        <v>1</v>
      </c>
      <c r="G480">
        <v>1</v>
      </c>
      <c r="H480">
        <v>3</v>
      </c>
      <c r="I480" t="s">
        <v>679</v>
      </c>
      <c r="J480" t="s">
        <v>680</v>
      </c>
      <c r="K480" t="s">
        <v>681</v>
      </c>
      <c r="L480">
        <v>1327</v>
      </c>
      <c r="N480">
        <v>1005</v>
      </c>
      <c r="O480" t="s">
        <v>189</v>
      </c>
      <c r="P480" t="s">
        <v>189</v>
      </c>
      <c r="Q480">
        <v>1</v>
      </c>
      <c r="X480">
        <v>102</v>
      </c>
      <c r="Y480">
        <v>142.57</v>
      </c>
      <c r="Z480">
        <v>0</v>
      </c>
      <c r="AA480">
        <v>0</v>
      </c>
      <c r="AB480">
        <v>0</v>
      </c>
      <c r="AC480">
        <v>0</v>
      </c>
      <c r="AD480">
        <v>1</v>
      </c>
      <c r="AE480">
        <v>0</v>
      </c>
      <c r="AF480" t="s">
        <v>3</v>
      </c>
      <c r="AG480">
        <v>102</v>
      </c>
      <c r="AH480">
        <v>2</v>
      </c>
      <c r="AI480">
        <v>48373345</v>
      </c>
      <c r="AJ480">
        <v>478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</row>
    <row r="481" spans="1:44">
      <c r="A481">
        <f>ROW(Source!A188)</f>
        <v>188</v>
      </c>
      <c r="B481">
        <v>48373359</v>
      </c>
      <c r="C481">
        <v>48373335</v>
      </c>
      <c r="D481">
        <v>37731442</v>
      </c>
      <c r="E481">
        <v>1</v>
      </c>
      <c r="F481">
        <v>1</v>
      </c>
      <c r="G481">
        <v>1</v>
      </c>
      <c r="H481">
        <v>3</v>
      </c>
      <c r="I481" t="s">
        <v>628</v>
      </c>
      <c r="J481" t="s">
        <v>629</v>
      </c>
      <c r="K481" t="s">
        <v>630</v>
      </c>
      <c r="L481">
        <v>1348</v>
      </c>
      <c r="N481">
        <v>1009</v>
      </c>
      <c r="O481" t="s">
        <v>536</v>
      </c>
      <c r="P481" t="s">
        <v>536</v>
      </c>
      <c r="Q481">
        <v>1000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1</v>
      </c>
      <c r="AD481">
        <v>0</v>
      </c>
      <c r="AE481">
        <v>0</v>
      </c>
      <c r="AF481" t="s">
        <v>3</v>
      </c>
      <c r="AG481">
        <v>0</v>
      </c>
      <c r="AH481">
        <v>2</v>
      </c>
      <c r="AI481">
        <v>48373346</v>
      </c>
      <c r="AJ481">
        <v>479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</row>
    <row r="482" spans="1:44">
      <c r="A482">
        <f>ROW(Source!A188)</f>
        <v>188</v>
      </c>
      <c r="B482">
        <v>48373360</v>
      </c>
      <c r="C482">
        <v>48373335</v>
      </c>
      <c r="D482">
        <v>37753185</v>
      </c>
      <c r="E482">
        <v>1</v>
      </c>
      <c r="F482">
        <v>1</v>
      </c>
      <c r="G482">
        <v>1</v>
      </c>
      <c r="H482">
        <v>3</v>
      </c>
      <c r="I482" t="s">
        <v>682</v>
      </c>
      <c r="J482" t="s">
        <v>683</v>
      </c>
      <c r="K482" t="s">
        <v>684</v>
      </c>
      <c r="L482">
        <v>1339</v>
      </c>
      <c r="N482">
        <v>1007</v>
      </c>
      <c r="O482" t="s">
        <v>543</v>
      </c>
      <c r="P482" t="s">
        <v>543</v>
      </c>
      <c r="Q482">
        <v>1</v>
      </c>
      <c r="X482">
        <v>0.01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 t="s">
        <v>3</v>
      </c>
      <c r="AG482">
        <v>0.01</v>
      </c>
      <c r="AH482">
        <v>2</v>
      </c>
      <c r="AI482">
        <v>48373347</v>
      </c>
      <c r="AJ482">
        <v>480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</row>
    <row r="483" spans="1:44">
      <c r="A483">
        <f>ROW(Source!A188)</f>
        <v>188</v>
      </c>
      <c r="B483">
        <v>48373361</v>
      </c>
      <c r="C483">
        <v>48373335</v>
      </c>
      <c r="D483">
        <v>37777802</v>
      </c>
      <c r="E483">
        <v>1</v>
      </c>
      <c r="F483">
        <v>1</v>
      </c>
      <c r="G483">
        <v>1</v>
      </c>
      <c r="H483">
        <v>3</v>
      </c>
      <c r="I483" t="s">
        <v>616</v>
      </c>
      <c r="J483" t="s">
        <v>617</v>
      </c>
      <c r="K483" t="s">
        <v>618</v>
      </c>
      <c r="L483">
        <v>1339</v>
      </c>
      <c r="N483">
        <v>1007</v>
      </c>
      <c r="O483" t="s">
        <v>543</v>
      </c>
      <c r="P483" t="s">
        <v>543</v>
      </c>
      <c r="Q483">
        <v>1</v>
      </c>
      <c r="X483">
        <v>0.44</v>
      </c>
      <c r="Y483">
        <v>2.4700000000000002</v>
      </c>
      <c r="Z483">
        <v>0</v>
      </c>
      <c r="AA483">
        <v>0</v>
      </c>
      <c r="AB483">
        <v>0</v>
      </c>
      <c r="AC483">
        <v>0</v>
      </c>
      <c r="AD483">
        <v>1</v>
      </c>
      <c r="AE483">
        <v>0</v>
      </c>
      <c r="AF483" t="s">
        <v>3</v>
      </c>
      <c r="AG483">
        <v>0.44</v>
      </c>
      <c r="AH483">
        <v>2</v>
      </c>
      <c r="AI483">
        <v>48373348</v>
      </c>
      <c r="AJ483">
        <v>481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Смета для ТЕР ЧР</vt:lpstr>
      <vt:lpstr>Акт КС-2 для ТЕР ЧР</vt:lpstr>
      <vt:lpstr>Source</vt:lpstr>
      <vt:lpstr>SourceObSm</vt:lpstr>
      <vt:lpstr>SmtRes</vt:lpstr>
      <vt:lpstr>EtalonRes</vt:lpstr>
      <vt:lpstr>'Акт КС-2 для ТЕР ЧР'!Заголовки_для_печати</vt:lpstr>
      <vt:lpstr>'Смета для ТЕР ЧР'!Заголовки_для_печати</vt:lpstr>
      <vt:lpstr>'Акт КС-2 для ТЕР ЧР'!Область_печати</vt:lpstr>
      <vt:lpstr>'Смета для ТЕР ЧР'!Область_печати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МТС</dc:creator>
  <cp:lastModifiedBy>Васильева Инга Григорьевна</cp:lastModifiedBy>
  <cp:lastPrinted>2021-04-05T11:06:25Z</cp:lastPrinted>
  <dcterms:created xsi:type="dcterms:W3CDTF">2021-02-09T14:48:48Z</dcterms:created>
  <dcterms:modified xsi:type="dcterms:W3CDTF">2021-04-20T07:37:14Z</dcterms:modified>
</cp:coreProperties>
</file>